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BUD.XLS " sheetId="1" r:id="rId4"/>
    <sheet state="visible" name="FEECALC" sheetId="2" r:id="rId5"/>
    <sheet state="visible" name="STIPENDS " sheetId="3" r:id="rId6"/>
    <sheet state="visible" name="Staff Director Stipends" sheetId="4" r:id="rId7"/>
    <sheet state="visible" name="TAXES" sheetId="5" r:id="rId8"/>
  </sheets>
  <definedNames>
    <definedName localSheetId="1" name="Print_Area_MI">FEECALC!$O$5:$AB$53</definedName>
    <definedName name="Print_Area_MI">#REF!</definedName>
    <definedName name="MONTH">#REF!</definedName>
  </definedNames>
  <calcPr/>
  <extLst>
    <ext uri="GoogleSheetsCustomDataVersion1">
      <go:sheetsCustomData xmlns:go="http://customooxmlschemas.google.com/" r:id="rId9" roundtripDataSignature="AMtx7mj5u2Vj8LuW9u7SmTlt2VpguDQugw=="/>
    </ext>
  </extLst>
</workbook>
</file>

<file path=xl/sharedStrings.xml><?xml version="1.0" encoding="utf-8"?>
<sst xmlns="http://schemas.openxmlformats.org/spreadsheetml/2006/main" count="407" uniqueCount="206">
  <si>
    <t>ASSOCIATED STUDENTS UCLA</t>
  </si>
  <si>
    <t>GRADUATE STUDENTS ASSOCIATION</t>
  </si>
  <si>
    <t>2021-2022 ORIGINAL BUDGET</t>
  </si>
  <si>
    <t>ORIGINAL</t>
  </si>
  <si>
    <t>REVISED*</t>
  </si>
  <si>
    <t>ANTICIPATED</t>
  </si>
  <si>
    <t>2019-20</t>
  </si>
  <si>
    <t>2020-21</t>
  </si>
  <si>
    <t>2021-22</t>
  </si>
  <si>
    <t>BUDGETABLE INCOME</t>
  </si>
  <si>
    <t>ACTUAL</t>
  </si>
  <si>
    <t xml:space="preserve">BUDGET </t>
  </si>
  <si>
    <t>BUDGET</t>
  </si>
  <si>
    <t>SURPLUS</t>
  </si>
  <si>
    <t>Membership Fees - Central Office</t>
  </si>
  <si>
    <t>D</t>
  </si>
  <si>
    <t>Membership Fees - Councils</t>
  </si>
  <si>
    <t>E</t>
  </si>
  <si>
    <t xml:space="preserve">Membership Fees - Writing Center </t>
  </si>
  <si>
    <t>F</t>
  </si>
  <si>
    <t>CalPirg Voluntary Fee</t>
  </si>
  <si>
    <t>Interest Income</t>
  </si>
  <si>
    <t>Program Support/Other Income</t>
  </si>
  <si>
    <t>Surplus Withdrawal</t>
  </si>
  <si>
    <t>Council Carry-Over</t>
  </si>
  <si>
    <t xml:space="preserve">Non-Recurrent Income/Expense </t>
  </si>
  <si>
    <t>ASUCLA Interaction Fund Contribution</t>
  </si>
  <si>
    <t>J</t>
  </si>
  <si>
    <t>ASUCLA Interaction Fund Contr. Surplus</t>
  </si>
  <si>
    <t>Student Fee Advisory Committee (SFAC) Fees  *</t>
  </si>
  <si>
    <t>K</t>
  </si>
  <si>
    <t>SFAC Fee Surplus  *</t>
  </si>
  <si>
    <t>100%</t>
  </si>
  <si>
    <t>TOTAL BUDGETABLE INCOME</t>
  </si>
  <si>
    <t>BUDGETABLE EXPENSE-CENTRAL OFFICE</t>
  </si>
  <si>
    <t>Staff Director Stipends</t>
  </si>
  <si>
    <t>D/I</t>
  </si>
  <si>
    <t>Dept=4001</t>
  </si>
  <si>
    <t>Officer Stipends</t>
  </si>
  <si>
    <t>D/C</t>
  </si>
  <si>
    <t>Fund= all</t>
  </si>
  <si>
    <t>Director Stipends</t>
  </si>
  <si>
    <t>D/B</t>
  </si>
  <si>
    <t>Payroll Taxes</t>
  </si>
  <si>
    <t>D/A</t>
  </si>
  <si>
    <t>Bank Charges</t>
  </si>
  <si>
    <t>Supplies</t>
  </si>
  <si>
    <t>Computer Supplies</t>
  </si>
  <si>
    <t>Telephone</t>
  </si>
  <si>
    <t>Services/Subscriptions/Website UCLA (6040)</t>
  </si>
  <si>
    <t>Photocopying</t>
  </si>
  <si>
    <t>Depreciation - South Campus Copier</t>
  </si>
  <si>
    <t>Outside Advertising</t>
  </si>
  <si>
    <t>Travel</t>
  </si>
  <si>
    <t>Bruin Post Advertising</t>
  </si>
  <si>
    <t>Cabinet Discretionary</t>
  </si>
  <si>
    <t>GSA President Discretionary</t>
  </si>
  <si>
    <t>GSA VP Internal Discretionary</t>
  </si>
  <si>
    <t>GSA VP External Discretionary</t>
  </si>
  <si>
    <t>GSA VP Academic Affairs Discretionary</t>
  </si>
  <si>
    <t>Forum Discretionary</t>
  </si>
  <si>
    <t>Appt/Elect Board Discretionary</t>
  </si>
  <si>
    <t>Graduate Students Events</t>
  </si>
  <si>
    <t>Graduate Student Resource Center (GSRC)</t>
  </si>
  <si>
    <t>GSRC Oversight Committee Discretionary</t>
  </si>
  <si>
    <t>Student Interest Group Board Discretionary **</t>
  </si>
  <si>
    <t>Orientation</t>
  </si>
  <si>
    <t>Elections</t>
  </si>
  <si>
    <t>Admin &amp; Support Services</t>
  </si>
  <si>
    <t>Maintenance</t>
  </si>
  <si>
    <t>Utilities</t>
  </si>
  <si>
    <t>Programming Misc</t>
  </si>
  <si>
    <t>Compulsory Fee Refund</t>
  </si>
  <si>
    <t>Bank Card Fees</t>
  </si>
  <si>
    <t>Unallocated Surplus</t>
  </si>
  <si>
    <t>Special Projects</t>
  </si>
  <si>
    <t>Honorarium</t>
  </si>
  <si>
    <t>SUBTOTAL CENTRAL OFFICE</t>
  </si>
  <si>
    <t>BUDGETABLE EXPENSE-COUNCILS/PROGRAMMING</t>
  </si>
  <si>
    <t>Councils</t>
  </si>
  <si>
    <t>Graduate Student Writing Center</t>
  </si>
  <si>
    <t>Discretionary Programs-SFAC Fees  *</t>
  </si>
  <si>
    <t>Publications-SFAC Fees  *</t>
  </si>
  <si>
    <t>Director Stipends: SFAC</t>
  </si>
  <si>
    <t>GSRC Staff and Programming</t>
  </si>
  <si>
    <t>Discretionary Programs - Interaction Fund</t>
  </si>
  <si>
    <t>Other Student Groups (Outside funding) SURPLUS</t>
  </si>
  <si>
    <t>Melnitz Movies</t>
  </si>
  <si>
    <t>Sustainable Resource Center</t>
  </si>
  <si>
    <t>Director Stipends: ASUCLA Interaction</t>
  </si>
  <si>
    <t>Divison 450 Various Departments (Outside Funding)</t>
  </si>
  <si>
    <t>SUBTOTAL PROGRAMMING</t>
  </si>
  <si>
    <t>TOTAL BUDGETABLE EXPENSES</t>
  </si>
  <si>
    <t>NET</t>
  </si>
  <si>
    <t>*  Student Fee Advisory Committee (SFAC) Fees use is restricted by agreement with the University and</t>
  </si>
  <si>
    <t xml:space="preserve">    may only be used for Discretionary Programs and Publications.  </t>
  </si>
  <si>
    <t>** Student Interest Board Discretionary 2006-07 Budget includes AGSA 2005-06 Surplus</t>
  </si>
  <si>
    <t>The following preliminary Council budgets will be posted August 1st, representing 75% of prior year allocations.</t>
  </si>
  <si>
    <t>75% of 20-21</t>
  </si>
  <si>
    <t>Arts and Architecture</t>
  </si>
  <si>
    <t>Biological Sciences</t>
  </si>
  <si>
    <t>Dentistry</t>
  </si>
  <si>
    <t>Education</t>
  </si>
  <si>
    <t>Engineering</t>
  </si>
  <si>
    <t>Humanities</t>
  </si>
  <si>
    <t>Law</t>
  </si>
  <si>
    <t>Management</t>
  </si>
  <si>
    <t>Math and Physical Sciences</t>
  </si>
  <si>
    <t>Medicine</t>
  </si>
  <si>
    <t>Nursing</t>
  </si>
  <si>
    <t>Public Health</t>
  </si>
  <si>
    <t>Social Sciences</t>
  </si>
  <si>
    <t>Total Council Preliminary</t>
  </si>
  <si>
    <t xml:space="preserve">2021-2022 BUDGET </t>
  </si>
  <si>
    <t>GSA BUDGET INCOME WORKSHEET</t>
  </si>
  <si>
    <t>2021-2022</t>
  </si>
  <si>
    <t>2020-2021</t>
  </si>
  <si>
    <t>CHANGE</t>
  </si>
  <si>
    <t>% CHNG</t>
  </si>
  <si>
    <t>ENROLL</t>
  </si>
  <si>
    <r>
      <rPr>
        <rFont val="Arial"/>
        <color theme="1"/>
        <sz val="10.0"/>
      </rPr>
      <t xml:space="preserve">GENERAL CAMPUS (3 QUARTER AVERAGE, </t>
    </r>
    <r>
      <rPr>
        <rFont val="Arial"/>
        <color theme="1"/>
        <sz val="8.0"/>
      </rPr>
      <t>Projected</t>
    </r>
    <r>
      <rPr>
        <rFont val="Arial"/>
        <color theme="1"/>
        <sz val="10.0"/>
      </rPr>
      <t>)</t>
    </r>
  </si>
  <si>
    <t>EXECUTIVE AND FULLY EMPLOYED MBA*</t>
  </si>
  <si>
    <t>LEADERSHIP CO-HORT (SCHOOL OF EDUC)**</t>
  </si>
  <si>
    <t>HEALTH SCIENCES ***</t>
  </si>
  <si>
    <t>TOTAL ENROLLMENT</t>
  </si>
  <si>
    <t>MANDATORY FEE</t>
  </si>
  <si>
    <t>AVERAGE DEPOSITS</t>
  </si>
  <si>
    <t>PROJECTED INTEREST RATE</t>
  </si>
  <si>
    <t>CENTRAL OFFICE FEES</t>
  </si>
  <si>
    <t>COUNCIL FEES</t>
  </si>
  <si>
    <t>GRADUATE STUDENT WRITING CENTER FEES</t>
  </si>
  <si>
    <t>CPI every year as of 3/23/15; must confirm w/UC</t>
  </si>
  <si>
    <t>UCSA FEES</t>
  </si>
  <si>
    <t>UCSA DUES</t>
  </si>
  <si>
    <t>*    Per Anderson School, EMBA/FEMBA's do pay the GSA fee. SGA invoices and payment made direct to GSA.</t>
  </si>
  <si>
    <t xml:space="preserve">     Estimate based on prior year actual.</t>
  </si>
  <si>
    <t>**  Administered by School of Education.  SGA invoices and payment made direct to GSA. Estimate based on prior year actual.</t>
  </si>
  <si>
    <t>*** Excluding interns and residents, who do not pay GSA fees.</t>
  </si>
  <si>
    <t>MANDATORY MEMBERSHIP FEES CALCULATION</t>
  </si>
  <si>
    <t>GENERAL AND HEALTH SCIENCE</t>
  </si>
  <si>
    <t>+</t>
  </si>
  <si>
    <t>x</t>
  </si>
  <si>
    <t>=</t>
  </si>
  <si>
    <t>$</t>
  </si>
  <si>
    <t>DIRECT PAY FEES (ANDERSON AND LEADERSHIP)</t>
  </si>
  <si>
    <t>CENTRAL OFFICE INCOME CALCULATION</t>
  </si>
  <si>
    <t>Admin Fee 5%</t>
  </si>
  <si>
    <t>COUNCILS INCOME CALCULATION</t>
  </si>
  <si>
    <t>WRITING CENTER INCOME CALCULATION</t>
  </si>
  <si>
    <t>UCSA CONTRIBUTION CALCULATION</t>
  </si>
  <si>
    <t>UCSA AUGMENTED CALCULATION FROM CENTRAL OFFICE</t>
  </si>
  <si>
    <t>AVERAGE DEPOSITS (P/Y) X EXPECTED RETURN</t>
  </si>
  <si>
    <t>2021-2022 BUDGET</t>
  </si>
  <si>
    <t>ORIG</t>
  </si>
  <si>
    <t>REVISED</t>
  </si>
  <si>
    <t xml:space="preserve"># of </t>
  </si>
  <si>
    <t>$ of</t>
  </si>
  <si>
    <t xml:space="preserve">STIPENDS </t>
  </si>
  <si>
    <t>STIPEND</t>
  </si>
  <si>
    <t>Officers</t>
  </si>
  <si>
    <t>mths</t>
  </si>
  <si>
    <t>President</t>
  </si>
  <si>
    <t>Vice President-Internal</t>
  </si>
  <si>
    <t>Vice President-External</t>
  </si>
  <si>
    <t>Vice President-Academic Affairs</t>
  </si>
  <si>
    <t>SUBTOTAL OFFICER STIPENDS</t>
  </si>
  <si>
    <t>Director Stipends  - Report to President</t>
  </si>
  <si>
    <t>qtrs</t>
  </si>
  <si>
    <t xml:space="preserve">   Communications</t>
  </si>
  <si>
    <t>c</t>
  </si>
  <si>
    <t xml:space="preserve">   Discretionary Funding</t>
  </si>
  <si>
    <t>b</t>
  </si>
  <si>
    <t xml:space="preserve">   Elections </t>
  </si>
  <si>
    <t xml:space="preserve">   Graduate Student Events/Interaction</t>
  </si>
  <si>
    <t>3</t>
  </si>
  <si>
    <t>a</t>
  </si>
  <si>
    <t xml:space="preserve">   Melnitz Movies</t>
  </si>
  <si>
    <t xml:space="preserve">   Publications</t>
  </si>
  <si>
    <t>Reports to the VPAA</t>
  </si>
  <si>
    <t xml:space="preserve">   Academic Senate </t>
  </si>
  <si>
    <t>SUBTOTAL DIRECTOR STIPENDS: ASUCLA</t>
  </si>
  <si>
    <t>SUBTOTAL DIRECTOR STIPENDS: SFAC</t>
  </si>
  <si>
    <t>SUBTOTAL DIRECTOR STIPENDS: Central Office</t>
  </si>
  <si>
    <t>TOTAL STIPENDS</t>
  </si>
  <si>
    <t>Director's in red have been remove from list and should not be included in 415 GSA budget</t>
  </si>
  <si>
    <t>Inflation factor</t>
  </si>
  <si>
    <t>Go here to calculate stipend inflation</t>
  </si>
  <si>
    <t>http://www.westegg.com/inflation/</t>
  </si>
  <si>
    <t>Cabinet Progam Directors</t>
  </si>
  <si>
    <t>Administrative Affairs Director</t>
  </si>
  <si>
    <t>Director of Diversity, Inclusion and Community Engagement</t>
  </si>
  <si>
    <t>Director of Social Media/Web Manager</t>
  </si>
  <si>
    <t>Finance Director</t>
  </si>
  <si>
    <t>Legislative Affairs Director</t>
  </si>
  <si>
    <t>Organizing Director/Community Relations Director</t>
  </si>
  <si>
    <t>SUBTOTAL DIRECTOR STIPENDS</t>
  </si>
  <si>
    <t>2021-2022 PAYROLL TAXES</t>
  </si>
  <si>
    <t>Original Budget</t>
  </si>
  <si>
    <t>Revised Budget</t>
  </si>
  <si>
    <t>Payroll Category</t>
  </si>
  <si>
    <t>Office Staff</t>
  </si>
  <si>
    <t>Commissoners Stipends</t>
  </si>
  <si>
    <t>Officers Stipends</t>
  </si>
  <si>
    <t>Total</t>
  </si>
  <si>
    <t>Budgeted Tax Rate **</t>
  </si>
  <si>
    <t>** Used estimate of the amount of taxes paid out last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</si>
</sst>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&quot;$&quot;#,##0.00"/>
    <numFmt numFmtId="165" formatCode="General_)"/>
    <numFmt numFmtId="166" formatCode="&quot;$&quot;#,##0.00_);\(&quot;$&quot;#,##0.00\)"/>
    <numFmt numFmtId="167" formatCode="0.00_);[Red]\(0.00\)"/>
    <numFmt numFmtId="168" formatCode="&quot;$&quot;#,##0_);\(&quot;$&quot;#,##0\)"/>
    <numFmt numFmtId="169" formatCode="0.00_)"/>
    <numFmt numFmtId="170" formatCode="_(&quot;$&quot;* #,##0_);_(&quot;$&quot;* \(#,##0\);_(&quot;$&quot;* &quot;-&quot;??_);_(@_)"/>
    <numFmt numFmtId="171" formatCode="0.0%"/>
    <numFmt numFmtId="172" formatCode="#,##0.000_);[Red]\(#,##0.000\)"/>
  </numFmts>
  <fonts count="23">
    <font>
      <sz val="10.0"/>
      <color rgb="FF000000"/>
      <name val="Open Sans"/>
    </font>
    <font>
      <sz val="10.0"/>
      <color theme="1"/>
      <name val="Arial"/>
    </font>
    <font/>
    <font>
      <b/>
      <sz val="10.0"/>
      <color rgb="FF0000FF"/>
      <name val="Arial"/>
    </font>
    <font>
      <sz val="10.0"/>
      <color rgb="FFFF0000"/>
      <name val="Arial"/>
    </font>
    <font>
      <sz val="10.0"/>
      <color rgb="FF0080C0"/>
      <name val="Arial"/>
    </font>
    <font>
      <sz val="10.0"/>
      <color rgb="FF993366"/>
      <name val="Arial"/>
    </font>
    <font>
      <sz val="10.0"/>
      <color rgb="FF0000FF"/>
      <name val="Arial"/>
    </font>
    <font>
      <sz val="10.0"/>
      <color rgb="FF008000"/>
      <name val="Arial"/>
    </font>
    <font>
      <sz val="10.0"/>
      <color rgb="FF3366FF"/>
      <name val="Arial"/>
    </font>
    <font>
      <b/>
      <sz val="10.0"/>
      <color theme="1"/>
      <name val="Arial"/>
    </font>
    <font>
      <sz val="10.0"/>
      <color theme="1"/>
      <name val="Open Sans"/>
    </font>
    <font>
      <b/>
      <sz val="10.0"/>
      <color rgb="FFFF0000"/>
      <name val="Arial"/>
    </font>
    <font>
      <sz val="10.0"/>
      <color rgb="FF333399"/>
      <name val="Arial"/>
    </font>
    <font>
      <i/>
      <sz val="10.0"/>
      <color theme="1"/>
      <name val="Arial"/>
    </font>
    <font>
      <sz val="10.0"/>
      <color rgb="FF0080C0"/>
      <name val="Open Sans"/>
    </font>
    <font>
      <sz val="10.0"/>
      <color theme="1"/>
      <name val="Courier"/>
    </font>
    <font>
      <u/>
      <sz val="10.0"/>
      <color theme="1"/>
      <name val="Arial"/>
    </font>
    <font>
      <b/>
      <i/>
      <sz val="10.0"/>
      <color theme="1"/>
      <name val="Arial"/>
    </font>
    <font>
      <b/>
      <sz val="12.0"/>
      <color theme="1"/>
      <name val="Arial"/>
    </font>
    <font>
      <sz val="9.0"/>
      <color theme="1"/>
      <name val="Arial"/>
    </font>
    <font>
      <sz val="10.0"/>
      <color rgb="FFFF9900"/>
      <name val="Arial"/>
    </font>
    <font>
      <sz val="10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theme="6"/>
        <bgColor theme="6"/>
      </patternFill>
    </fill>
  </fills>
  <borders count="41">
    <border/>
    <border>
      <bottom style="double">
        <color rgb="FF000000"/>
      </bottom>
    </border>
    <border>
      <left style="double">
        <color rgb="FF000000"/>
      </left>
      <top style="double">
        <color rgb="FF000000"/>
      </top>
    </border>
    <border>
      <top style="double">
        <color rgb="FF000000"/>
      </top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bottom style="thick">
        <color rgb="FF000000"/>
      </bottom>
    </border>
    <border>
      <bottom style="thick">
        <color rgb="FF000000"/>
      </bottom>
    </border>
    <border>
      <left style="double">
        <color rgb="FF000000"/>
      </left>
      <right style="double">
        <color rgb="FF000000"/>
      </right>
      <bottom style="thick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</border>
    <border>
      <left style="double">
        <color rgb="FF000000"/>
      </left>
      <right style="double">
        <color rgb="FF000000"/>
      </right>
      <top style="thick">
        <color rgb="FF000000"/>
      </top>
    </border>
    <border>
      <left style="double">
        <color rgb="FF000000"/>
      </left>
      <right style="double">
        <color rgb="FF000000"/>
      </right>
      <top style="thick">
        <color rgb="FF000000"/>
      </top>
      <bottom style="thin">
        <color rgb="FF000000"/>
      </bottom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bottom style="thin">
        <color rgb="FF000000"/>
      </bottom>
    </border>
    <border>
      <bottom style="thin">
        <color rgb="FF000000"/>
      </bottom>
    </border>
    <border>
      <left style="double">
        <color rgb="FF000000"/>
      </left>
      <right style="double">
        <color rgb="FF000000"/>
      </right>
      <bottom style="thin">
        <color rgb="FF000000"/>
      </bottom>
    </border>
    <border>
      <left style="double">
        <color rgb="FF000000"/>
      </left>
      <top style="double">
        <color rgb="FF000000"/>
      </top>
      <bottom style="dotted">
        <color rgb="FF000000"/>
      </bottom>
    </border>
    <border>
      <top style="double">
        <color rgb="FF000000"/>
      </top>
      <bottom style="dotted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</border>
    <border>
      <left style="double">
        <color rgb="FF000000"/>
      </left>
      <top style="medium">
        <color rgb="FF000000"/>
      </top>
      <bottom style="double">
        <color rgb="FF000000"/>
      </bottom>
    </border>
    <border>
      <top style="medium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/>
      <right/>
      <top/>
      <bottom/>
    </border>
    <border>
      <right style="double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bottom style="dotted">
        <color rgb="FF000000"/>
      </bottom>
    </border>
    <border>
      <left/>
      <right/>
      <top style="thick">
        <color rgb="FF000000"/>
      </top>
      <bottom/>
    </border>
    <border>
      <top style="thick">
        <color rgb="FF000000"/>
      </top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9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1" numFmtId="4" xfId="0" applyFont="1" applyNumberFormat="1"/>
    <xf borderId="0" fillId="0" fontId="1" numFmtId="164" xfId="0" applyFont="1" applyNumberFormat="1"/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3" numFmtId="0" xfId="0" applyFont="1"/>
    <xf borderId="2" fillId="0" fontId="1" numFmtId="0" xfId="0" applyBorder="1" applyFont="1"/>
    <xf borderId="3" fillId="0" fontId="1" numFmtId="0" xfId="0" applyBorder="1" applyFont="1"/>
    <xf borderId="4" fillId="0" fontId="4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5" fillId="0" fontId="1" numFmtId="0" xfId="0" applyBorder="1" applyFont="1"/>
    <xf borderId="6" fillId="0" fontId="1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7" fillId="0" fontId="1" numFmtId="0" xfId="0" applyAlignment="1" applyBorder="1" applyFont="1">
      <alignment horizontal="left"/>
    </xf>
    <xf borderId="8" fillId="0" fontId="1" numFmtId="0" xfId="0" applyAlignment="1" applyBorder="1" applyFont="1">
      <alignment horizontal="left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1" numFmtId="0" xfId="0" applyAlignment="1" applyBorder="1" applyFont="1">
      <alignment horizontal="left"/>
    </xf>
    <xf borderId="12" fillId="0" fontId="1" numFmtId="0" xfId="0" applyBorder="1" applyFont="1"/>
    <xf borderId="13" fillId="0" fontId="1" numFmtId="38" xfId="0" applyBorder="1" applyFont="1" applyNumberFormat="1"/>
    <xf borderId="14" fillId="0" fontId="1" numFmtId="37" xfId="0" applyBorder="1" applyFont="1" applyNumberFormat="1"/>
    <xf borderId="15" fillId="0" fontId="1" numFmtId="37" xfId="0" applyBorder="1" applyFont="1" applyNumberFormat="1"/>
    <xf borderId="0" fillId="0" fontId="1" numFmtId="37" xfId="0" applyFont="1" applyNumberFormat="1"/>
    <xf borderId="16" fillId="0" fontId="4" numFmtId="37" xfId="0" applyBorder="1" applyFont="1" applyNumberFormat="1"/>
    <xf borderId="0" fillId="0" fontId="4" numFmtId="0" xfId="0" applyFont="1"/>
    <xf borderId="12" fillId="0" fontId="1" numFmtId="0" xfId="0" applyAlignment="1" applyBorder="1" applyFont="1">
      <alignment horizontal="left"/>
    </xf>
    <xf borderId="17" fillId="0" fontId="1" numFmtId="37" xfId="0" applyBorder="1" applyFont="1" applyNumberFormat="1"/>
    <xf borderId="13" fillId="0" fontId="1" numFmtId="37" xfId="0" applyBorder="1" applyFont="1" applyNumberFormat="1"/>
    <xf borderId="13" fillId="0" fontId="6" numFmtId="37" xfId="0" applyBorder="1" applyFont="1" applyNumberFormat="1"/>
    <xf borderId="13" fillId="0" fontId="7" numFmtId="37" xfId="0" applyBorder="1" applyFont="1" applyNumberFormat="1"/>
    <xf borderId="11" fillId="0" fontId="1" numFmtId="0" xfId="0" applyBorder="1" applyFont="1"/>
    <xf borderId="13" fillId="0" fontId="4" numFmtId="37" xfId="0" applyBorder="1" applyFont="1" applyNumberFormat="1"/>
    <xf borderId="0" fillId="0" fontId="8" numFmtId="0" xfId="0" applyFont="1"/>
    <xf borderId="0" fillId="0" fontId="9" numFmtId="37" xfId="0" applyFont="1" applyNumberFormat="1"/>
    <xf borderId="13" fillId="0" fontId="1" numFmtId="37" xfId="0" applyAlignment="1" applyBorder="1" applyFont="1" applyNumberFormat="1">
      <alignment readingOrder="0"/>
    </xf>
    <xf borderId="13" fillId="0" fontId="9" numFmtId="37" xfId="0" applyBorder="1" applyFont="1" applyNumberFormat="1"/>
    <xf borderId="13" fillId="0" fontId="8" numFmtId="37" xfId="0" applyBorder="1" applyFont="1" applyNumberFormat="1"/>
    <xf borderId="11" fillId="0" fontId="10" numFmtId="0" xfId="0" applyAlignment="1" applyBorder="1" applyFont="1">
      <alignment horizontal="left"/>
    </xf>
    <xf borderId="12" fillId="0" fontId="10" numFmtId="0" xfId="0" applyAlignment="1" applyBorder="1" applyFont="1">
      <alignment horizontal="left"/>
    </xf>
    <xf borderId="13" fillId="0" fontId="10" numFmtId="38" xfId="0" applyBorder="1" applyFont="1" applyNumberFormat="1"/>
    <xf borderId="13" fillId="0" fontId="10" numFmtId="37" xfId="0" applyBorder="1" applyFont="1" applyNumberFormat="1"/>
    <xf borderId="0" fillId="0" fontId="10" numFmtId="37" xfId="0" applyFont="1" applyNumberFormat="1"/>
    <xf borderId="13" fillId="0" fontId="10" numFmtId="37" xfId="0" applyAlignment="1" applyBorder="1" applyFont="1" applyNumberFormat="1">
      <alignment horizontal="center"/>
    </xf>
    <xf borderId="18" fillId="0" fontId="1" numFmtId="0" xfId="0" applyBorder="1" applyFont="1"/>
    <xf borderId="19" fillId="0" fontId="1" numFmtId="0" xfId="0" applyBorder="1" applyFont="1"/>
    <xf borderId="20" fillId="0" fontId="1" numFmtId="38" xfId="0" applyBorder="1" applyFont="1" applyNumberFormat="1"/>
    <xf borderId="20" fillId="0" fontId="1" numFmtId="37" xfId="0" applyBorder="1" applyFont="1" applyNumberFormat="1"/>
    <xf borderId="0" fillId="0" fontId="1" numFmtId="0" xfId="0" applyAlignment="1" applyFont="1">
      <alignment horizontal="left"/>
    </xf>
    <xf borderId="12" fillId="0" fontId="1" numFmtId="38" xfId="0" applyBorder="1" applyFont="1" applyNumberFormat="1"/>
    <xf borderId="0" fillId="0" fontId="11" numFmtId="0" xfId="0" applyFont="1"/>
    <xf borderId="12" fillId="0" fontId="1" numFmtId="37" xfId="0" applyBorder="1" applyFont="1" applyNumberFormat="1"/>
    <xf borderId="21" fillId="0" fontId="1" numFmtId="0" xfId="0" applyBorder="1" applyFont="1"/>
    <xf borderId="22" fillId="0" fontId="1" numFmtId="0" xfId="0" applyBorder="1" applyFont="1"/>
    <xf borderId="23" fillId="0" fontId="1" numFmtId="38" xfId="0" applyBorder="1" applyFont="1" applyNumberFormat="1"/>
    <xf borderId="23" fillId="0" fontId="1" numFmtId="37" xfId="0" applyBorder="1" applyFont="1" applyNumberFormat="1"/>
    <xf borderId="23" fillId="0" fontId="4" numFmtId="37" xfId="0" applyBorder="1" applyFont="1" applyNumberFormat="1"/>
    <xf borderId="0" fillId="0" fontId="1" numFmtId="37" xfId="0" applyAlignment="1" applyFont="1" applyNumberFormat="1">
      <alignment horizontal="left"/>
    </xf>
    <xf borderId="13" fillId="0" fontId="4" numFmtId="37" xfId="0" applyAlignment="1" applyBorder="1" applyFont="1" applyNumberFormat="1">
      <alignment readingOrder="0"/>
    </xf>
    <xf borderId="13" fillId="0" fontId="12" numFmtId="37" xfId="0" applyBorder="1" applyFont="1" applyNumberFormat="1"/>
    <xf borderId="0" fillId="0" fontId="1" numFmtId="4" xfId="0" applyAlignment="1" applyFont="1" applyNumberFormat="1">
      <alignment horizontal="left"/>
    </xf>
    <xf borderId="0" fillId="0" fontId="4" numFmtId="0" xfId="0" applyAlignment="1" applyFont="1">
      <alignment horizontal="right"/>
    </xf>
    <xf borderId="0" fillId="0" fontId="4" numFmtId="4" xfId="0" applyAlignment="1" applyFont="1" applyNumberFormat="1">
      <alignment horizontal="center"/>
    </xf>
    <xf borderId="0" fillId="0" fontId="4" numFmtId="4" xfId="0" applyAlignment="1" applyFont="1" applyNumberFormat="1">
      <alignment horizontal="left"/>
    </xf>
    <xf borderId="0" fillId="0" fontId="1" numFmtId="39" xfId="0" applyFont="1" applyNumberFormat="1"/>
    <xf borderId="0" fillId="0" fontId="13" numFmtId="39" xfId="0" applyFont="1" applyNumberFormat="1"/>
    <xf borderId="24" fillId="0" fontId="1" numFmtId="0" xfId="0" applyBorder="1" applyFont="1"/>
    <xf borderId="25" fillId="0" fontId="1" numFmtId="0" xfId="0" applyBorder="1" applyFont="1"/>
    <xf borderId="26" fillId="0" fontId="1" numFmtId="38" xfId="0" applyBorder="1" applyFont="1" applyNumberFormat="1"/>
    <xf borderId="26" fillId="0" fontId="1" numFmtId="37" xfId="0" applyBorder="1" applyFont="1" applyNumberFormat="1"/>
    <xf borderId="25" fillId="0" fontId="1" numFmtId="37" xfId="0" applyBorder="1" applyFont="1" applyNumberFormat="1"/>
    <xf borderId="26" fillId="0" fontId="4" numFmtId="37" xfId="0" applyBorder="1" applyFont="1" applyNumberFormat="1"/>
    <xf borderId="25" fillId="0" fontId="11" numFmtId="0" xfId="0" applyBorder="1" applyFont="1"/>
    <xf borderId="6" fillId="0" fontId="1" numFmtId="38" xfId="0" applyBorder="1" applyFont="1" applyNumberFormat="1"/>
    <xf borderId="6" fillId="0" fontId="1" numFmtId="37" xfId="0" applyBorder="1" applyFont="1" applyNumberFormat="1"/>
    <xf borderId="6" fillId="0" fontId="4" numFmtId="37" xfId="0" applyBorder="1" applyFont="1" applyNumberFormat="1"/>
    <xf borderId="18" fillId="0" fontId="1" numFmtId="0" xfId="0" applyAlignment="1" applyBorder="1" applyFont="1">
      <alignment horizontal="left"/>
    </xf>
    <xf borderId="19" fillId="0" fontId="1" numFmtId="0" xfId="0" applyAlignment="1" applyBorder="1" applyFont="1">
      <alignment horizontal="left"/>
    </xf>
    <xf borderId="0" fillId="0" fontId="5" numFmtId="37" xfId="0" applyFont="1" applyNumberFormat="1"/>
    <xf borderId="20" fillId="0" fontId="4" numFmtId="37" xfId="0" applyBorder="1" applyFont="1" applyNumberFormat="1"/>
    <xf borderId="0" fillId="0" fontId="4" numFmtId="3" xfId="0" applyAlignment="1" applyFont="1" applyNumberFormat="1">
      <alignment horizontal="left"/>
    </xf>
    <xf borderId="0" fillId="0" fontId="11" numFmtId="38" xfId="0" applyFont="1" applyNumberFormat="1"/>
    <xf borderId="21" fillId="0" fontId="1" numFmtId="0" xfId="0" applyAlignment="1" applyBorder="1" applyFont="1">
      <alignment horizontal="left"/>
    </xf>
    <xf borderId="22" fillId="0" fontId="1" numFmtId="0" xfId="0" applyAlignment="1" applyBorder="1" applyFont="1">
      <alignment horizontal="left"/>
    </xf>
    <xf borderId="23" fillId="0" fontId="6" numFmtId="37" xfId="0" applyBorder="1" applyFont="1" applyNumberFormat="1"/>
    <xf borderId="24" fillId="0" fontId="1" numFmtId="0" xfId="0" applyAlignment="1" applyBorder="1" applyFont="1">
      <alignment horizontal="left"/>
    </xf>
    <xf borderId="25" fillId="0" fontId="1" numFmtId="0" xfId="0" applyAlignment="1" applyBorder="1" applyFont="1">
      <alignment horizontal="left"/>
    </xf>
    <xf borderId="26" fillId="0" fontId="7" numFmtId="37" xfId="0" applyBorder="1" applyFont="1" applyNumberFormat="1"/>
    <xf borderId="0" fillId="0" fontId="1" numFmtId="1" xfId="0" applyFont="1" applyNumberFormat="1"/>
    <xf borderId="0" fillId="0" fontId="1" numFmtId="9" xfId="0" applyFont="1" applyNumberFormat="1"/>
    <xf borderId="0" fillId="0" fontId="1" numFmtId="38" xfId="0" applyFont="1" applyNumberFormat="1"/>
    <xf borderId="11" fillId="0" fontId="14" numFmtId="0" xfId="0" applyAlignment="1" applyBorder="1" applyFont="1">
      <alignment horizontal="left"/>
    </xf>
    <xf borderId="11" fillId="0" fontId="14" numFmtId="0" xfId="0" applyBorder="1" applyFont="1"/>
    <xf borderId="27" fillId="0" fontId="1" numFmtId="0" xfId="0" applyAlignment="1" applyBorder="1" applyFont="1">
      <alignment horizontal="left"/>
    </xf>
    <xf borderId="28" fillId="0" fontId="1" numFmtId="0" xfId="0" applyAlignment="1" applyBorder="1" applyFont="1">
      <alignment horizontal="left"/>
    </xf>
    <xf borderId="29" fillId="0" fontId="1" numFmtId="38" xfId="0" applyBorder="1" applyFont="1" applyNumberFormat="1"/>
    <xf borderId="29" fillId="0" fontId="1" numFmtId="37" xfId="0" applyBorder="1" applyFont="1" applyNumberFormat="1"/>
    <xf borderId="30" fillId="0" fontId="1" numFmtId="0" xfId="0" applyBorder="1" applyFont="1"/>
    <xf borderId="31" fillId="0" fontId="1" numFmtId="0" xfId="0" applyBorder="1" applyFont="1"/>
    <xf borderId="32" fillId="0" fontId="1" numFmtId="38" xfId="0" applyBorder="1" applyFont="1" applyNumberFormat="1"/>
    <xf borderId="32" fillId="0" fontId="1" numFmtId="37" xfId="0" applyBorder="1" applyFont="1" applyNumberFormat="1"/>
    <xf borderId="32" fillId="0" fontId="5" numFmtId="37" xfId="0" applyBorder="1" applyFont="1" applyNumberFormat="1"/>
    <xf borderId="0" fillId="0" fontId="15" numFmtId="0" xfId="0" applyFont="1"/>
    <xf borderId="20" fillId="0" fontId="12" numFmtId="37" xfId="0" applyBorder="1" applyFont="1" applyNumberFormat="1"/>
    <xf borderId="0" fillId="0" fontId="1" numFmtId="37" xfId="0" applyAlignment="1" applyFont="1" applyNumberFormat="1">
      <alignment horizontal="right"/>
    </xf>
    <xf borderId="33" fillId="2" fontId="1" numFmtId="37" xfId="0" applyBorder="1" applyFill="1" applyFont="1" applyNumberFormat="1"/>
    <xf borderId="13" fillId="2" fontId="4" numFmtId="39" xfId="0" applyBorder="1" applyFont="1" applyNumberFormat="1"/>
    <xf borderId="34" fillId="0" fontId="1" numFmtId="0" xfId="0" applyBorder="1" applyFont="1"/>
    <xf borderId="35" fillId="0" fontId="1" numFmtId="37" xfId="0" applyBorder="1" applyFont="1" applyNumberFormat="1"/>
    <xf borderId="13" fillId="0" fontId="12" numFmtId="39" xfId="0" applyBorder="1" applyFont="1" applyNumberFormat="1"/>
    <xf borderId="0" fillId="0" fontId="1" numFmtId="165" xfId="0" applyAlignment="1" applyFont="1" applyNumberFormat="1">
      <alignment horizontal="center"/>
    </xf>
    <xf borderId="0" fillId="0" fontId="1" numFmtId="165" xfId="0" applyFont="1" applyNumberFormat="1"/>
    <xf borderId="0" fillId="0" fontId="1" numFmtId="165" xfId="0" applyAlignment="1" applyFont="1" applyNumberFormat="1">
      <alignment horizontal="left"/>
    </xf>
    <xf borderId="0" fillId="0" fontId="16" numFmtId="165" xfId="0" applyFont="1" applyNumberFormat="1"/>
    <xf borderId="0" fillId="0" fontId="1" numFmtId="10" xfId="0" applyFont="1" applyNumberFormat="1"/>
    <xf borderId="0" fillId="0" fontId="4" numFmtId="166" xfId="0" applyFont="1" applyNumberFormat="1"/>
    <xf borderId="0" fillId="0" fontId="1" numFmtId="167" xfId="0" applyFont="1" applyNumberFormat="1"/>
    <xf borderId="0" fillId="0" fontId="1" numFmtId="168" xfId="0" applyFont="1" applyNumberFormat="1"/>
    <xf borderId="0" fillId="0" fontId="1" numFmtId="166" xfId="0" applyFont="1" applyNumberFormat="1"/>
    <xf borderId="0" fillId="0" fontId="4" numFmtId="165" xfId="0" applyFont="1" applyNumberFormat="1"/>
    <xf borderId="0" fillId="0" fontId="17" numFmtId="165" xfId="0" applyAlignment="1" applyFont="1" applyNumberFormat="1">
      <alignment horizontal="left"/>
    </xf>
    <xf borderId="0" fillId="0" fontId="1" numFmtId="165" xfId="0" applyAlignment="1" applyFont="1" applyNumberFormat="1">
      <alignment horizontal="right"/>
    </xf>
    <xf borderId="25" fillId="0" fontId="1" numFmtId="165" xfId="0" applyBorder="1" applyFont="1" applyNumberFormat="1"/>
    <xf borderId="25" fillId="0" fontId="1" numFmtId="165" xfId="0" applyAlignment="1" applyBorder="1" applyFont="1" applyNumberFormat="1">
      <alignment horizontal="right"/>
    </xf>
    <xf borderId="25" fillId="0" fontId="1" numFmtId="169" xfId="0" applyBorder="1" applyFont="1" applyNumberFormat="1"/>
    <xf borderId="1" fillId="0" fontId="1" numFmtId="165" xfId="0" applyAlignment="1" applyBorder="1" applyFont="1" applyNumberFormat="1">
      <alignment horizontal="right"/>
    </xf>
    <xf borderId="1" fillId="0" fontId="1" numFmtId="37" xfId="0" applyBorder="1" applyFont="1" applyNumberFormat="1"/>
    <xf borderId="36" fillId="0" fontId="1" numFmtId="165" xfId="0" applyBorder="1" applyFont="1" applyNumberFormat="1"/>
    <xf borderId="36" fillId="0" fontId="1" numFmtId="165" xfId="0" applyAlignment="1" applyBorder="1" applyFont="1" applyNumberFormat="1">
      <alignment horizontal="right"/>
    </xf>
    <xf borderId="36" fillId="0" fontId="1" numFmtId="37" xfId="0" applyBorder="1" applyFont="1" applyNumberFormat="1"/>
    <xf borderId="36" fillId="0" fontId="1" numFmtId="168" xfId="0" applyBorder="1" applyFont="1" applyNumberFormat="1"/>
    <xf borderId="1" fillId="0" fontId="1" numFmtId="170" xfId="0" applyBorder="1" applyFont="1" applyNumberFormat="1"/>
    <xf borderId="0" fillId="0" fontId="1" numFmtId="169" xfId="0" applyFont="1" applyNumberFormat="1"/>
    <xf borderId="1" fillId="0" fontId="1" numFmtId="168" xfId="0" applyBorder="1" applyFont="1" applyNumberFormat="1"/>
    <xf borderId="0" fillId="0" fontId="1" numFmtId="171" xfId="0" applyFont="1" applyNumberFormat="1"/>
    <xf borderId="37" fillId="3" fontId="1" numFmtId="165" xfId="0" applyAlignment="1" applyBorder="1" applyFill="1" applyFont="1" applyNumberFormat="1">
      <alignment horizontal="left"/>
    </xf>
    <xf borderId="37" fillId="3" fontId="1" numFmtId="165" xfId="0" applyBorder="1" applyFont="1" applyNumberFormat="1"/>
    <xf borderId="37" fillId="3" fontId="1" numFmtId="168" xfId="0" applyBorder="1" applyFont="1" applyNumberFormat="1"/>
    <xf borderId="38" fillId="0" fontId="1" numFmtId="165" xfId="0" applyAlignment="1" applyBorder="1" applyFont="1" applyNumberFormat="1">
      <alignment horizontal="left"/>
    </xf>
    <xf borderId="38" fillId="0" fontId="1" numFmtId="171" xfId="0" applyBorder="1" applyFont="1" applyNumberFormat="1"/>
    <xf borderId="38" fillId="0" fontId="1" numFmtId="165" xfId="0" applyBorder="1" applyFont="1" applyNumberFormat="1"/>
    <xf borderId="38" fillId="0" fontId="1" numFmtId="165" xfId="0" applyAlignment="1" applyBorder="1" applyFont="1" applyNumberFormat="1">
      <alignment horizontal="right"/>
    </xf>
    <xf borderId="38" fillId="0" fontId="1" numFmtId="37" xfId="0" applyBorder="1" applyFont="1" applyNumberFormat="1"/>
    <xf borderId="0" fillId="0" fontId="5" numFmtId="0" xfId="0" applyAlignment="1" applyFont="1">
      <alignment horizontal="center"/>
    </xf>
    <xf borderId="2" fillId="0" fontId="13" numFmtId="0" xfId="0" applyAlignment="1" applyBorder="1" applyFont="1">
      <alignment horizontal="center"/>
    </xf>
    <xf borderId="2" fillId="0" fontId="1" numFmtId="0" xfId="0" applyAlignment="1" applyBorder="1" applyFont="1">
      <alignment horizontal="center"/>
    </xf>
    <xf borderId="4" fillId="0" fontId="5" numFmtId="0" xfId="0" applyAlignment="1" applyBorder="1" applyFont="1">
      <alignment horizontal="center"/>
    </xf>
    <xf borderId="4" fillId="0" fontId="10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5" fillId="0" fontId="13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7" fillId="0" fontId="13" numFmtId="0" xfId="0" applyAlignment="1" applyBorder="1" applyFont="1">
      <alignment horizontal="center"/>
    </xf>
    <xf borderId="9" fillId="0" fontId="5" numFmtId="0" xfId="0" applyAlignment="1" applyBorder="1" applyFont="1">
      <alignment horizontal="center"/>
    </xf>
    <xf borderId="9" fillId="0" fontId="10" numFmtId="0" xfId="0" applyAlignment="1" applyBorder="1" applyFont="1">
      <alignment horizontal="center"/>
    </xf>
    <xf borderId="5" fillId="0" fontId="1" numFmtId="0" xfId="0" applyAlignment="1" applyBorder="1" applyFont="1">
      <alignment horizontal="left"/>
    </xf>
    <xf borderId="5" fillId="0" fontId="1" numFmtId="38" xfId="0" applyAlignment="1" applyBorder="1" applyFont="1" applyNumberFormat="1">
      <alignment horizontal="right"/>
    </xf>
    <xf borderId="39" fillId="0" fontId="1" numFmtId="37" xfId="0" applyBorder="1" applyFont="1" applyNumberFormat="1"/>
    <xf borderId="18" fillId="0" fontId="13" numFmtId="0" xfId="0" applyAlignment="1" applyBorder="1" applyFont="1">
      <alignment horizontal="left"/>
    </xf>
    <xf borderId="20" fillId="0" fontId="1" numFmtId="37" xfId="0" applyAlignment="1" applyBorder="1" applyFont="1" applyNumberFormat="1">
      <alignment horizontal="right"/>
    </xf>
    <xf borderId="20" fillId="0" fontId="10" numFmtId="37" xfId="0" applyAlignment="1" applyBorder="1" applyFont="1" applyNumberFormat="1">
      <alignment horizontal="right"/>
    </xf>
    <xf borderId="4" fillId="0" fontId="1" numFmtId="37" xfId="0" applyBorder="1" applyFont="1" applyNumberFormat="1"/>
    <xf borderId="5" fillId="0" fontId="5" numFmtId="0" xfId="0" applyAlignment="1" applyBorder="1" applyFont="1">
      <alignment horizontal="left"/>
    </xf>
    <xf borderId="6" fillId="0" fontId="18" numFmtId="37" xfId="0" applyBorder="1" applyFont="1" applyNumberFormat="1"/>
    <xf borderId="6" fillId="0" fontId="9" numFmtId="37" xfId="0" applyBorder="1" applyFont="1" applyNumberFormat="1"/>
    <xf borderId="5" fillId="0" fontId="8" numFmtId="0" xfId="0" applyAlignment="1" applyBorder="1" applyFont="1">
      <alignment horizontal="left"/>
    </xf>
    <xf borderId="5" fillId="0" fontId="4" numFmtId="0" xfId="0" applyAlignment="1" applyBorder="1" applyFont="1">
      <alignment horizontal="left"/>
    </xf>
    <xf borderId="40" fillId="4" fontId="1" numFmtId="0" xfId="0" applyAlignment="1" applyBorder="1" applyFill="1" applyFont="1">
      <alignment horizontal="left"/>
    </xf>
    <xf borderId="18" fillId="0" fontId="1" numFmtId="0" xfId="0" applyAlignment="1" applyBorder="1" applyFont="1">
      <alignment horizontal="center"/>
    </xf>
    <xf borderId="18" fillId="0" fontId="13" numFmtId="0" xfId="0" applyAlignment="1" applyBorder="1" applyFont="1">
      <alignment horizontal="center"/>
    </xf>
    <xf borderId="18" fillId="0" fontId="1" numFmtId="38" xfId="0" applyAlignment="1" applyBorder="1" applyFont="1" applyNumberFormat="1">
      <alignment horizontal="center"/>
    </xf>
    <xf borderId="20" fillId="0" fontId="10" numFmtId="37" xfId="0" applyBorder="1" applyFont="1" applyNumberFormat="1"/>
    <xf borderId="30" fillId="0" fontId="13" numFmtId="0" xfId="0" applyBorder="1" applyFont="1"/>
    <xf borderId="32" fillId="0" fontId="19" numFmtId="37" xfId="0" applyBorder="1" applyFont="1" applyNumberFormat="1"/>
    <xf borderId="0" fillId="0" fontId="14" numFmtId="0" xfId="0" applyAlignment="1" applyFont="1">
      <alignment horizontal="left"/>
    </xf>
    <xf borderId="0" fillId="0" fontId="14" numFmtId="0" xfId="0" applyFont="1"/>
    <xf borderId="0" fillId="0" fontId="1" numFmtId="16" xfId="0" applyAlignment="1" applyFont="1" applyNumberFormat="1">
      <alignment horizontal="left"/>
    </xf>
    <xf borderId="5" fillId="0" fontId="20" numFmtId="0" xfId="0" applyAlignment="1" applyBorder="1" applyFont="1">
      <alignment horizontal="left"/>
    </xf>
    <xf borderId="5" fillId="0" fontId="21" numFmtId="0" xfId="0" applyAlignment="1" applyBorder="1" applyFont="1">
      <alignment horizontal="left" readingOrder="0"/>
    </xf>
    <xf borderId="5" fillId="0" fontId="1" numFmtId="0" xfId="0" applyAlignment="1" applyBorder="1" applyFont="1">
      <alignment horizontal="center" readingOrder="0"/>
    </xf>
    <xf borderId="5" fillId="0" fontId="1" numFmtId="38" xfId="0" applyAlignment="1" applyBorder="1" applyFont="1" applyNumberFormat="1">
      <alignment horizontal="right" readingOrder="0"/>
    </xf>
    <xf borderId="5" fillId="0" fontId="1" numFmtId="0" xfId="0" applyAlignment="1" applyBorder="1" applyFont="1">
      <alignment horizontal="left" readingOrder="0"/>
    </xf>
    <xf borderId="5" fillId="0" fontId="22" numFmtId="38" xfId="0" applyAlignment="1" applyBorder="1" applyFont="1" applyNumberFormat="1">
      <alignment horizontal="right"/>
    </xf>
    <xf borderId="0" fillId="0" fontId="4" numFmtId="0" xfId="0" applyAlignment="1" applyFont="1">
      <alignment horizontal="center"/>
    </xf>
    <xf borderId="0" fillId="0" fontId="1" numFmtId="3" xfId="0" applyFont="1" applyNumberFormat="1"/>
    <xf borderId="12" fillId="0" fontId="1" numFmtId="3" xfId="0" applyBorder="1" applyFont="1" applyNumberFormat="1"/>
    <xf borderId="0" fillId="0" fontId="1" numFmtId="172" xfId="0" applyFont="1" applyNumberFormat="1"/>
    <xf borderId="0" fillId="0" fontId="1" numFmtId="40" xfId="0" applyFont="1" applyNumberFormat="1"/>
    <xf borderId="1" fillId="0" fontId="1" numFmtId="38" xfId="0" applyBorder="1" applyFont="1" applyNumberFormat="1"/>
    <xf borderId="0" fillId="0" fontId="1" numFmtId="38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4.43" defaultRowHeight="15.0"/>
  <cols>
    <col customWidth="1" min="1" max="1" width="35.71"/>
    <col customWidth="1" min="2" max="2" width="7.86"/>
    <col customWidth="1" min="3" max="3" width="10.29"/>
    <col customWidth="1" min="4" max="4" width="10.71"/>
    <col customWidth="1" min="5" max="5" width="10.86"/>
    <col customWidth="1" min="6" max="6" width="2.43"/>
    <col customWidth="1" min="7" max="7" width="13.0"/>
    <col customWidth="1" min="8" max="8" width="5.0"/>
    <col customWidth="1" min="9" max="9" width="11.14"/>
    <col customWidth="1" min="10" max="10" width="4.14"/>
    <col customWidth="1" min="11" max="11" width="11.57"/>
    <col customWidth="1" min="12" max="12" width="11.14"/>
    <col customWidth="1" min="13" max="13" width="9.14"/>
    <col customWidth="1" hidden="1" min="14" max="14" width="12.86"/>
    <col customWidth="1" min="15" max="26" width="8.0"/>
  </cols>
  <sheetData>
    <row r="1" ht="12.75" customHeight="1">
      <c r="A1" s="1" t="s">
        <v>0</v>
      </c>
      <c r="H1" s="2"/>
      <c r="I1" s="2"/>
      <c r="J1" s="2"/>
      <c r="K1" s="2"/>
      <c r="L1" s="3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 t="s">
        <v>1</v>
      </c>
      <c r="I2" s="1"/>
      <c r="J2" s="2"/>
      <c r="K2" s="2"/>
      <c r="L2" s="3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2</v>
      </c>
      <c r="B3" s="6"/>
      <c r="C3" s="6"/>
      <c r="D3" s="6"/>
      <c r="E3" s="6"/>
      <c r="F3" s="6"/>
      <c r="G3" s="6"/>
      <c r="H3" s="6"/>
      <c r="I3" s="1"/>
      <c r="J3" s="7"/>
      <c r="K3" s="2"/>
      <c r="L3" s="3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8"/>
      <c r="B4" s="9"/>
      <c r="C4" s="10"/>
      <c r="D4" s="11" t="s">
        <v>3</v>
      </c>
      <c r="E4" s="11" t="s">
        <v>4</v>
      </c>
      <c r="F4" s="1"/>
      <c r="G4" s="11" t="s">
        <v>5</v>
      </c>
      <c r="I4" s="11" t="s">
        <v>3</v>
      </c>
      <c r="J4" s="2"/>
      <c r="K4" s="2"/>
      <c r="L4" s="3"/>
      <c r="M4" s="2"/>
      <c r="N4" s="4" t="s">
        <v>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2"/>
      <c r="B5" s="2"/>
      <c r="C5" s="13" t="s">
        <v>6</v>
      </c>
      <c r="D5" s="13" t="s">
        <v>7</v>
      </c>
      <c r="E5" s="13" t="s">
        <v>7</v>
      </c>
      <c r="F5" s="1"/>
      <c r="G5" s="14"/>
      <c r="I5" s="14" t="s">
        <v>8</v>
      </c>
      <c r="J5" s="2"/>
      <c r="K5" s="2"/>
      <c r="L5" s="3"/>
      <c r="M5" s="2"/>
      <c r="N5" s="4" t="s">
        <v>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15" t="s">
        <v>9</v>
      </c>
      <c r="B6" s="16"/>
      <c r="C6" s="17" t="s">
        <v>10</v>
      </c>
      <c r="D6" s="18" t="s">
        <v>11</v>
      </c>
      <c r="E6" s="17" t="s">
        <v>12</v>
      </c>
      <c r="F6" s="1"/>
      <c r="G6" s="17" t="s">
        <v>13</v>
      </c>
      <c r="I6" s="17" t="s">
        <v>12</v>
      </c>
      <c r="J6" s="2"/>
      <c r="K6" s="2"/>
      <c r="L6" s="3"/>
      <c r="M6" s="2"/>
      <c r="N6" s="4" t="s">
        <v>12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9" t="s">
        <v>14</v>
      </c>
      <c r="B7" s="20"/>
      <c r="C7" s="21">
        <f>251618.86+460.01</f>
        <v>252078.87</v>
      </c>
      <c r="D7" s="22">
        <v>234705.0</v>
      </c>
      <c r="E7" s="23"/>
      <c r="F7" s="24"/>
      <c r="G7" s="25"/>
      <c r="I7" s="25">
        <f>FEECALC!K39</f>
        <v>238507</v>
      </c>
      <c r="J7" s="26" t="s">
        <v>15</v>
      </c>
      <c r="K7" s="2"/>
      <c r="L7" s="3"/>
      <c r="M7" s="2"/>
      <c r="N7" s="4">
        <v>235532.0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19" t="s">
        <v>16</v>
      </c>
      <c r="B8" s="27"/>
      <c r="C8" s="21">
        <v>190289.02</v>
      </c>
      <c r="D8" s="28">
        <v>178053.0</v>
      </c>
      <c r="E8" s="29"/>
      <c r="F8" s="24"/>
      <c r="G8" s="30"/>
      <c r="I8" s="30">
        <f>FEECALC!K45</f>
        <v>180937</v>
      </c>
      <c r="J8" s="2" t="s">
        <v>17</v>
      </c>
      <c r="K8" s="2"/>
      <c r="L8" s="3"/>
      <c r="M8" s="2"/>
      <c r="N8" s="4">
        <v>178680.0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9" t="s">
        <v>18</v>
      </c>
      <c r="B9" s="27"/>
      <c r="C9" s="21">
        <v>156554.19</v>
      </c>
      <c r="D9" s="28">
        <v>148837.0</v>
      </c>
      <c r="E9" s="29"/>
      <c r="F9" s="24"/>
      <c r="G9" s="31"/>
      <c r="I9" s="31">
        <f>FEECALC!K52</f>
        <v>152975</v>
      </c>
      <c r="J9" s="2" t="s">
        <v>19</v>
      </c>
      <c r="K9" s="2"/>
      <c r="L9" s="3"/>
      <c r="M9" s="2"/>
      <c r="N9" s="4">
        <v>146680.0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9" t="s">
        <v>20</v>
      </c>
      <c r="B10" s="27"/>
      <c r="C10" s="21">
        <v>16256.42</v>
      </c>
      <c r="D10" s="29">
        <v>0.0</v>
      </c>
      <c r="E10" s="29"/>
      <c r="F10" s="24"/>
      <c r="G10" s="29"/>
      <c r="I10" s="29">
        <v>0.0</v>
      </c>
      <c r="J10" s="2"/>
      <c r="K10" s="2"/>
      <c r="L10" s="3"/>
      <c r="M10" s="2"/>
      <c r="N10" s="4">
        <v>0.0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32" t="s">
        <v>21</v>
      </c>
      <c r="B11" s="20"/>
      <c r="C11" s="21">
        <v>6116.64</v>
      </c>
      <c r="D11" s="29">
        <v>4200.0</v>
      </c>
      <c r="E11" s="29"/>
      <c r="F11" s="24"/>
      <c r="G11" s="33"/>
      <c r="I11" s="33">
        <f>FEECALC!K66</f>
        <v>230</v>
      </c>
      <c r="J11" s="34" t="s">
        <v>15</v>
      </c>
      <c r="K11" s="24"/>
      <c r="L11" s="3"/>
      <c r="M11" s="2"/>
      <c r="N11" s="4">
        <v>10500.0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9" t="s">
        <v>22</v>
      </c>
      <c r="B12" s="27"/>
      <c r="C12" s="21">
        <f>50650+8757.64+12282.19</f>
        <v>71689.83</v>
      </c>
      <c r="D12" s="29">
        <v>0.0</v>
      </c>
      <c r="E12" s="29"/>
      <c r="F12" s="24"/>
      <c r="G12" s="29"/>
      <c r="I12" s="29">
        <v>0.0</v>
      </c>
      <c r="J12" s="2"/>
      <c r="K12" s="2"/>
      <c r="L12" s="3"/>
      <c r="M12" s="2"/>
      <c r="N12" s="4">
        <v>0.0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9" t="s">
        <v>23</v>
      </c>
      <c r="B13" s="27"/>
      <c r="C13" s="21">
        <v>38109.67</v>
      </c>
      <c r="D13" s="29">
        <v>0.0</v>
      </c>
      <c r="E13" s="29">
        <v>28164.84</v>
      </c>
      <c r="F13" s="35"/>
      <c r="G13" s="36">
        <v>10000.0</v>
      </c>
      <c r="I13" s="29">
        <f t="shared" ref="I13:I14" si="1">G13</f>
        <v>10000</v>
      </c>
      <c r="J13" s="2"/>
      <c r="K13" s="2"/>
      <c r="L13" s="3"/>
      <c r="M13" s="2"/>
      <c r="N13" s="4">
        <v>0.0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9" t="s">
        <v>23</v>
      </c>
      <c r="B14" s="27"/>
      <c r="C14" s="21"/>
      <c r="D14" s="29">
        <v>25000.0</v>
      </c>
      <c r="E14" s="37"/>
      <c r="F14" s="24"/>
      <c r="G14" s="29"/>
      <c r="I14" s="29" t="str">
        <f t="shared" si="1"/>
        <v/>
      </c>
      <c r="J14" s="2"/>
      <c r="K14" s="2"/>
      <c r="L14" s="3"/>
      <c r="M14" s="2"/>
      <c r="N14" s="4">
        <v>10266.0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9" t="s">
        <v>24</v>
      </c>
      <c r="B15" s="27"/>
      <c r="C15" s="21">
        <v>125902.56</v>
      </c>
      <c r="D15" s="29">
        <v>0.0</v>
      </c>
      <c r="E15" s="29">
        <v>161844.8</v>
      </c>
      <c r="F15" s="24"/>
      <c r="G15" s="29"/>
      <c r="I15" s="29">
        <v>0.0</v>
      </c>
      <c r="J15" s="2"/>
      <c r="K15" s="2"/>
      <c r="L15" s="3"/>
      <c r="M15" s="2"/>
      <c r="N15" s="4">
        <v>0.0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9" t="s">
        <v>25</v>
      </c>
      <c r="B16" s="27"/>
      <c r="C16" s="21"/>
      <c r="D16" s="29">
        <v>0.0</v>
      </c>
      <c r="E16" s="29"/>
      <c r="F16" s="24"/>
      <c r="G16" s="29"/>
      <c r="I16" s="29">
        <v>0.0</v>
      </c>
      <c r="J16" s="2"/>
      <c r="K16" s="2"/>
      <c r="L16" s="3"/>
      <c r="M16" s="2"/>
      <c r="N16" s="4">
        <v>0.0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9" t="s">
        <v>26</v>
      </c>
      <c r="B17" s="27"/>
      <c r="C17" s="21">
        <v>61666.0</v>
      </c>
      <c r="D17" s="29">
        <v>61666.0</v>
      </c>
      <c r="E17" s="29">
        <v>-20031.0</v>
      </c>
      <c r="F17" s="24"/>
      <c r="G17" s="38"/>
      <c r="I17" s="38">
        <v>30833.0</v>
      </c>
      <c r="J17" s="2" t="s">
        <v>27</v>
      </c>
      <c r="K17" s="2"/>
      <c r="L17" s="3"/>
      <c r="M17" s="2"/>
      <c r="N17" s="4">
        <v>61666.0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9" t="s">
        <v>28</v>
      </c>
      <c r="B18" s="27"/>
      <c r="C18" s="21">
        <v>32521.98</v>
      </c>
      <c r="D18" s="29">
        <v>0.0</v>
      </c>
      <c r="E18" s="29">
        <v>14454.58</v>
      </c>
      <c r="F18" s="24"/>
      <c r="G18" s="29"/>
      <c r="I18" s="29">
        <v>0.0</v>
      </c>
      <c r="J18" s="2"/>
      <c r="K18" s="2"/>
      <c r="L18" s="3"/>
      <c r="M18" s="2"/>
      <c r="N18" s="4">
        <v>0.0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39" t="s">
        <v>29</v>
      </c>
      <c r="B19" s="40"/>
      <c r="C19" s="41">
        <v>67249.0</v>
      </c>
      <c r="D19" s="42">
        <v>67249.0</v>
      </c>
      <c r="E19" s="42"/>
      <c r="F19" s="43"/>
      <c r="G19" s="42"/>
      <c r="I19" s="42">
        <v>67249.0</v>
      </c>
      <c r="J19" s="2" t="s">
        <v>30</v>
      </c>
      <c r="K19" s="2"/>
      <c r="L19" s="3"/>
      <c r="M19" s="2"/>
      <c r="N19" s="4">
        <v>0.0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39" t="s">
        <v>31</v>
      </c>
      <c r="B20" s="40"/>
      <c r="C20" s="41">
        <v>198920.88</v>
      </c>
      <c r="D20" s="44" t="s">
        <v>32</v>
      </c>
      <c r="E20" s="42">
        <v>238266.29</v>
      </c>
      <c r="F20" s="43"/>
      <c r="G20" s="42"/>
      <c r="I20" s="42">
        <v>0.0</v>
      </c>
      <c r="J20" s="2"/>
      <c r="K20" s="2"/>
      <c r="L20" s="3"/>
      <c r="M20" s="2"/>
      <c r="N20" s="4" t="s">
        <v>32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45" t="s">
        <v>33</v>
      </c>
      <c r="B21" s="46"/>
      <c r="C21" s="47">
        <f t="shared" ref="C21:E21" si="2">SUM(C7:C20)</f>
        <v>1217355.06</v>
      </c>
      <c r="D21" s="48">
        <f t="shared" si="2"/>
        <v>719710</v>
      </c>
      <c r="E21" s="48">
        <f t="shared" si="2"/>
        <v>422699.51</v>
      </c>
      <c r="F21" s="35"/>
      <c r="G21" s="48">
        <f>SUM(G7:G20)</f>
        <v>10000</v>
      </c>
      <c r="I21" s="48">
        <f>SUM(I7:I20)</f>
        <v>680731</v>
      </c>
      <c r="J21" s="2"/>
      <c r="K21" s="2"/>
      <c r="L21" s="3"/>
      <c r="M21" s="2"/>
      <c r="N21" s="4">
        <v>643324.0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49" t="s">
        <v>34</v>
      </c>
      <c r="B22" s="49"/>
      <c r="C22" s="50"/>
      <c r="D22" s="51"/>
      <c r="E22" s="52"/>
      <c r="F22" s="24"/>
      <c r="G22" s="24"/>
      <c r="J22" s="2"/>
      <c r="K22" s="2"/>
      <c r="L22" s="3"/>
      <c r="M22" s="2"/>
      <c r="N22" s="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53" t="s">
        <v>35</v>
      </c>
      <c r="B23" s="54"/>
      <c r="C23" s="55">
        <f>23567.99+1500</f>
        <v>25067.99</v>
      </c>
      <c r="D23" s="56">
        <v>30888.0</v>
      </c>
      <c r="E23" s="56">
        <v>1536.0</v>
      </c>
      <c r="F23" s="35"/>
      <c r="G23" s="57"/>
      <c r="I23" s="57">
        <f>'Staff Director Stipends'!I28+G23</f>
        <v>33264</v>
      </c>
      <c r="J23" s="49" t="s">
        <v>36</v>
      </c>
      <c r="K23" s="2" t="s">
        <v>37</v>
      </c>
      <c r="L23" s="3"/>
      <c r="M23" s="2"/>
      <c r="N23" s="4">
        <v>24300.0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9" t="s">
        <v>38</v>
      </c>
      <c r="B24" s="27"/>
      <c r="C24" s="21">
        <v>37645.88</v>
      </c>
      <c r="D24" s="29">
        <v>51024.0</v>
      </c>
      <c r="E24" s="37"/>
      <c r="F24" s="35"/>
      <c r="G24" s="33"/>
      <c r="I24" s="33">
        <f>'STIPENDS '!I14</f>
        <v>51024</v>
      </c>
      <c r="J24" s="49" t="s">
        <v>39</v>
      </c>
      <c r="K24" s="2" t="s">
        <v>40</v>
      </c>
      <c r="L24" s="3"/>
      <c r="M24" s="2"/>
      <c r="N24" s="4">
        <v>37500.0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9" t="s">
        <v>41</v>
      </c>
      <c r="B25" s="27"/>
      <c r="C25" s="21">
        <v>45467.91</v>
      </c>
      <c r="D25" s="29">
        <v>21120.0</v>
      </c>
      <c r="E25" s="37"/>
      <c r="F25" s="35"/>
      <c r="G25" s="33"/>
      <c r="I25" s="33">
        <f>'STIPENDS '!I29</f>
        <v>19008</v>
      </c>
      <c r="J25" s="58" t="s">
        <v>42</v>
      </c>
      <c r="K25" s="2"/>
      <c r="L25" s="3"/>
      <c r="M25" s="2"/>
      <c r="N25" s="4">
        <v>44700.0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32" t="s">
        <v>43</v>
      </c>
      <c r="B26" s="20"/>
      <c r="C26" s="21">
        <v>1969.46</v>
      </c>
      <c r="D26" s="29">
        <v>2471.1079999999997</v>
      </c>
      <c r="E26" s="37"/>
      <c r="F26" s="35"/>
      <c r="G26" s="33"/>
      <c r="I26" s="33">
        <f>TAXES!G18+0.5</f>
        <v>2476.124</v>
      </c>
      <c r="J26" s="49" t="s">
        <v>44</v>
      </c>
      <c r="K26" s="2"/>
      <c r="L26" s="3"/>
      <c r="M26" s="2"/>
      <c r="N26" s="4">
        <v>2024.0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9" t="s">
        <v>45</v>
      </c>
      <c r="B27" s="20"/>
      <c r="C27" s="21">
        <v>3216.94</v>
      </c>
      <c r="D27" s="29">
        <v>3500.0</v>
      </c>
      <c r="E27" s="37"/>
      <c r="F27" s="35"/>
      <c r="G27" s="33"/>
      <c r="I27" s="33">
        <v>3500.0</v>
      </c>
      <c r="J27" s="26" t="s">
        <v>15</v>
      </c>
      <c r="K27" s="2"/>
      <c r="L27" s="3"/>
      <c r="M27" s="2"/>
      <c r="N27" s="4">
        <v>3500.0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2" t="s">
        <v>46</v>
      </c>
      <c r="B28" s="20"/>
      <c r="C28" s="21">
        <v>584.16</v>
      </c>
      <c r="D28" s="29">
        <v>13470.0</v>
      </c>
      <c r="E28" s="29">
        <v>1032.35</v>
      </c>
      <c r="F28" s="35"/>
      <c r="G28" s="59">
        <v>10000.0</v>
      </c>
      <c r="I28" s="59">
        <v>10679.0</v>
      </c>
      <c r="J28" s="26" t="s">
        <v>15</v>
      </c>
      <c r="K28" s="2"/>
      <c r="L28" s="3"/>
      <c r="M28" s="2"/>
      <c r="N28" s="4">
        <v>970.0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9" t="s">
        <v>47</v>
      </c>
      <c r="B29" s="20"/>
      <c r="C29" s="21"/>
      <c r="D29" s="29">
        <v>0.0</v>
      </c>
      <c r="E29" s="37"/>
      <c r="F29" s="35"/>
      <c r="G29" s="60"/>
      <c r="I29" s="33">
        <v>0.0</v>
      </c>
      <c r="J29" s="26" t="s">
        <v>15</v>
      </c>
      <c r="K29" s="2"/>
      <c r="L29" s="3"/>
      <c r="M29" s="2"/>
      <c r="N29" s="4">
        <v>0.0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32" t="s">
        <v>48</v>
      </c>
      <c r="B30" s="20"/>
      <c r="C30" s="21">
        <v>612.05</v>
      </c>
      <c r="D30" s="29">
        <v>600.0</v>
      </c>
      <c r="E30" s="37"/>
      <c r="F30" s="35"/>
      <c r="G30" s="33"/>
      <c r="I30" s="33">
        <v>600.0</v>
      </c>
      <c r="J30" s="26" t="s">
        <v>15</v>
      </c>
      <c r="K30" s="2"/>
      <c r="L30" s="3"/>
      <c r="M30" s="2"/>
      <c r="N30" s="4">
        <v>600.0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32" t="s">
        <v>49</v>
      </c>
      <c r="B31" s="20"/>
      <c r="C31" s="21">
        <v>0.0</v>
      </c>
      <c r="D31" s="29">
        <v>900.0</v>
      </c>
      <c r="E31" s="37"/>
      <c r="F31" s="35"/>
      <c r="G31" s="33"/>
      <c r="I31" s="33">
        <v>900.0</v>
      </c>
      <c r="J31" s="26"/>
      <c r="K31" s="2"/>
      <c r="L31" s="3"/>
      <c r="M31" s="2"/>
      <c r="N31" s="4">
        <v>900.0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32" t="s">
        <v>50</v>
      </c>
      <c r="B32" s="20"/>
      <c r="C32" s="21">
        <v>5524.78</v>
      </c>
      <c r="D32" s="29">
        <v>6300.0</v>
      </c>
      <c r="E32" s="37"/>
      <c r="F32" s="35"/>
      <c r="G32" s="33"/>
      <c r="I32" s="33">
        <v>6300.0</v>
      </c>
      <c r="J32" s="26" t="s">
        <v>15</v>
      </c>
      <c r="K32" s="2"/>
      <c r="L32" s="3"/>
      <c r="M32" s="2"/>
      <c r="N32" s="4">
        <v>6300.0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32" t="s">
        <v>51</v>
      </c>
      <c r="B33" s="20"/>
      <c r="C33" s="21">
        <v>2343.12</v>
      </c>
      <c r="D33" s="29">
        <v>2343.0</v>
      </c>
      <c r="E33" s="37"/>
      <c r="F33" s="35"/>
      <c r="G33" s="33"/>
      <c r="I33" s="33">
        <v>2343.0</v>
      </c>
      <c r="J33" s="26" t="s">
        <v>15</v>
      </c>
      <c r="K33" s="24"/>
      <c r="L33" s="3"/>
      <c r="M33" s="2"/>
      <c r="N33" s="4">
        <v>2343.0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32" t="s">
        <v>52</v>
      </c>
      <c r="B34" s="20"/>
      <c r="C34" s="21">
        <v>0.0</v>
      </c>
      <c r="D34" s="29">
        <v>400.0</v>
      </c>
      <c r="E34" s="37"/>
      <c r="F34" s="35"/>
      <c r="G34" s="33"/>
      <c r="I34" s="33">
        <v>400.0</v>
      </c>
      <c r="J34" s="26" t="s">
        <v>15</v>
      </c>
      <c r="K34" s="2"/>
      <c r="L34" s="3"/>
      <c r="M34" s="2"/>
      <c r="N34" s="4">
        <v>400.0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32" t="s">
        <v>53</v>
      </c>
      <c r="B35" s="20"/>
      <c r="C35" s="21">
        <v>471.39</v>
      </c>
      <c r="D35" s="29">
        <v>3000.0</v>
      </c>
      <c r="E35" s="29"/>
      <c r="F35" s="24"/>
      <c r="G35" s="33"/>
      <c r="I35" s="33">
        <v>3000.0</v>
      </c>
      <c r="J35" s="26" t="s">
        <v>15</v>
      </c>
      <c r="K35" s="2"/>
      <c r="L35" s="3"/>
      <c r="M35" s="2"/>
      <c r="N35" s="4">
        <v>4000.0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32" t="s">
        <v>54</v>
      </c>
      <c r="B36" s="20"/>
      <c r="C36" s="21"/>
      <c r="D36" s="29">
        <v>0.0</v>
      </c>
      <c r="E36" s="29"/>
      <c r="F36" s="24"/>
      <c r="G36" s="33"/>
      <c r="I36" s="33">
        <v>0.0</v>
      </c>
      <c r="J36" s="2"/>
      <c r="K36" s="2"/>
      <c r="L36" s="3"/>
      <c r="M36" s="2"/>
      <c r="N36" s="4">
        <v>0.0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2" t="s">
        <v>55</v>
      </c>
      <c r="B37" s="20"/>
      <c r="C37" s="21">
        <v>73.63</v>
      </c>
      <c r="D37" s="29">
        <v>2000.0</v>
      </c>
      <c r="E37" s="29"/>
      <c r="F37" s="24"/>
      <c r="G37" s="33"/>
      <c r="I37" s="33">
        <v>2000.0</v>
      </c>
      <c r="J37" s="26" t="s">
        <v>15</v>
      </c>
      <c r="K37" s="2"/>
      <c r="L37" s="3"/>
      <c r="M37" s="2"/>
      <c r="N37" s="4">
        <v>3000.0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9" t="s">
        <v>56</v>
      </c>
      <c r="B38" s="27"/>
      <c r="C38" s="21">
        <v>500.0</v>
      </c>
      <c r="D38" s="29">
        <v>2500.0</v>
      </c>
      <c r="E38" s="29">
        <v>1000.0</v>
      </c>
      <c r="F38" s="24"/>
      <c r="G38" s="33"/>
      <c r="H38" s="51"/>
      <c r="I38" s="33">
        <v>2500.0</v>
      </c>
      <c r="J38" s="26" t="s">
        <v>15</v>
      </c>
      <c r="K38" s="2"/>
      <c r="L38" s="3"/>
      <c r="M38" s="2"/>
      <c r="N38" s="4">
        <v>1500.0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9" t="s">
        <v>57</v>
      </c>
      <c r="B39" s="27"/>
      <c r="C39" s="21">
        <v>720.94</v>
      </c>
      <c r="D39" s="36">
        <v>1500.0</v>
      </c>
      <c r="E39" s="29"/>
      <c r="F39" s="24"/>
      <c r="G39" s="33"/>
      <c r="I39" s="59">
        <v>1000.0</v>
      </c>
      <c r="J39" s="26" t="s">
        <v>15</v>
      </c>
      <c r="K39" s="2"/>
      <c r="L39" s="3"/>
      <c r="M39" s="2"/>
      <c r="N39" s="4">
        <v>1500.0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9" t="s">
        <v>58</v>
      </c>
      <c r="B40" s="27"/>
      <c r="C40" s="21">
        <v>800.44</v>
      </c>
      <c r="D40" s="29">
        <v>2000.0</v>
      </c>
      <c r="E40" s="29"/>
      <c r="F40" s="24"/>
      <c r="G40" s="33"/>
      <c r="I40" s="59">
        <v>500.0</v>
      </c>
      <c r="J40" s="26" t="s">
        <v>15</v>
      </c>
      <c r="K40" s="2"/>
      <c r="L40" s="3"/>
      <c r="M40" s="2"/>
      <c r="N40" s="4">
        <v>2000.0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9" t="s">
        <v>59</v>
      </c>
      <c r="B41" s="27"/>
      <c r="C41" s="21">
        <v>0.0</v>
      </c>
      <c r="D41" s="29">
        <v>1000.0</v>
      </c>
      <c r="E41" s="29"/>
      <c r="F41" s="24"/>
      <c r="G41" s="33"/>
      <c r="H41" s="51"/>
      <c r="I41" s="59">
        <v>500.0</v>
      </c>
      <c r="J41" s="26" t="s">
        <v>15</v>
      </c>
      <c r="K41" s="2"/>
      <c r="L41" s="3"/>
      <c r="M41" s="2"/>
      <c r="N41" s="4">
        <v>500.0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32" t="s">
        <v>60</v>
      </c>
      <c r="B42" s="20"/>
      <c r="C42" s="21">
        <v>4000.0</v>
      </c>
      <c r="D42" s="29">
        <v>4000.0</v>
      </c>
      <c r="E42" s="29"/>
      <c r="F42" s="24"/>
      <c r="G42" s="33"/>
      <c r="I42" s="33">
        <v>4000.0</v>
      </c>
      <c r="J42" s="26" t="s">
        <v>15</v>
      </c>
      <c r="K42" s="2"/>
      <c r="L42" s="3"/>
      <c r="M42" s="2"/>
      <c r="N42" s="4">
        <v>4000.0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9" t="s">
        <v>61</v>
      </c>
      <c r="B43" s="27"/>
      <c r="C43" s="21">
        <v>0.0</v>
      </c>
      <c r="D43" s="29">
        <v>250.0</v>
      </c>
      <c r="E43" s="29"/>
      <c r="F43" s="24"/>
      <c r="G43" s="33"/>
      <c r="I43" s="33">
        <v>250.0</v>
      </c>
      <c r="J43" s="26" t="s">
        <v>15</v>
      </c>
      <c r="K43" s="2"/>
      <c r="L43" s="61"/>
      <c r="M43" s="2"/>
      <c r="N43" s="4">
        <v>250.0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39" t="s">
        <v>62</v>
      </c>
      <c r="B44" s="27"/>
      <c r="C44" s="21">
        <f>3000+1596+19343.67+2053.05</f>
        <v>25992.72</v>
      </c>
      <c r="D44" s="42">
        <v>7403.0</v>
      </c>
      <c r="E44" s="29">
        <v>7000.0</v>
      </c>
      <c r="F44" s="24"/>
      <c r="G44" s="33"/>
      <c r="I44" s="33">
        <v>7400.0</v>
      </c>
      <c r="J44" s="26" t="s">
        <v>15</v>
      </c>
      <c r="K44" s="62"/>
      <c r="L44" s="63"/>
      <c r="M44" s="64"/>
      <c r="N44" s="4">
        <v>3000.0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9" t="s">
        <v>63</v>
      </c>
      <c r="B45" s="27"/>
      <c r="C45" s="21"/>
      <c r="D45" s="29">
        <v>0.0</v>
      </c>
      <c r="E45" s="29"/>
      <c r="F45" s="24"/>
      <c r="G45" s="33"/>
      <c r="I45" s="33">
        <v>0.0</v>
      </c>
      <c r="J45" s="26" t="s">
        <v>15</v>
      </c>
      <c r="K45" s="2"/>
      <c r="L45" s="3"/>
      <c r="M45" s="2"/>
      <c r="N45" s="4">
        <v>0.0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9" t="s">
        <v>64</v>
      </c>
      <c r="B46" s="27"/>
      <c r="C46" s="21"/>
      <c r="D46" s="29">
        <v>0.0</v>
      </c>
      <c r="E46" s="29"/>
      <c r="F46" s="24"/>
      <c r="G46" s="33"/>
      <c r="I46" s="33">
        <v>0.0</v>
      </c>
      <c r="J46" s="26" t="s">
        <v>15</v>
      </c>
      <c r="K46" s="2"/>
      <c r="L46" s="3"/>
      <c r="M46" s="2"/>
      <c r="N46" s="4">
        <v>0.0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9" t="s">
        <v>65</v>
      </c>
      <c r="B47" s="27"/>
      <c r="C47" s="21">
        <v>0.0</v>
      </c>
      <c r="D47" s="29">
        <v>400.0</v>
      </c>
      <c r="E47" s="29"/>
      <c r="F47" s="24"/>
      <c r="G47" s="33"/>
      <c r="I47" s="33">
        <v>400.0</v>
      </c>
      <c r="J47" s="26" t="s">
        <v>15</v>
      </c>
      <c r="K47" s="2"/>
      <c r="L47" s="3"/>
      <c r="M47" s="2"/>
      <c r="N47" s="4">
        <v>400.0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32" t="s">
        <v>66</v>
      </c>
      <c r="B48" s="27"/>
      <c r="C48" s="21">
        <v>3456.57</v>
      </c>
      <c r="D48" s="29">
        <v>0.0</v>
      </c>
      <c r="E48" s="29"/>
      <c r="F48" s="24"/>
      <c r="G48" s="33"/>
      <c r="I48" s="33">
        <f>8766-248</f>
        <v>8518</v>
      </c>
      <c r="J48" s="26" t="s">
        <v>15</v>
      </c>
      <c r="K48" s="2"/>
      <c r="L48" s="3"/>
      <c r="M48" s="2"/>
      <c r="N48" s="4">
        <v>8766.0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32" t="s">
        <v>67</v>
      </c>
      <c r="B49" s="20"/>
      <c r="C49" s="21">
        <v>2655.44</v>
      </c>
      <c r="D49" s="29">
        <v>2613.0</v>
      </c>
      <c r="E49" s="29"/>
      <c r="F49" s="24"/>
      <c r="G49" s="33"/>
      <c r="I49" s="33">
        <v>2613.0</v>
      </c>
      <c r="J49" s="26" t="s">
        <v>15</v>
      </c>
      <c r="K49" s="2"/>
      <c r="L49" s="3"/>
      <c r="M49" s="2"/>
      <c r="N49" s="4">
        <v>4062.0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9" t="s">
        <v>68</v>
      </c>
      <c r="B50" s="27"/>
      <c r="C50" s="21">
        <v>45928.0</v>
      </c>
      <c r="D50" s="29">
        <v>48706.0</v>
      </c>
      <c r="E50" s="29"/>
      <c r="F50" s="24"/>
      <c r="G50" s="33"/>
      <c r="I50" s="33">
        <v>51227.0</v>
      </c>
      <c r="J50" s="26" t="s">
        <v>15</v>
      </c>
      <c r="K50" s="65"/>
      <c r="L50" s="3"/>
      <c r="M50" s="2"/>
      <c r="N50" s="4">
        <v>45928.0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32" t="s">
        <v>69</v>
      </c>
      <c r="B51" s="20"/>
      <c r="C51" s="21">
        <v>41970.0</v>
      </c>
      <c r="D51" s="29">
        <v>43428.0</v>
      </c>
      <c r="E51" s="29"/>
      <c r="F51" s="24"/>
      <c r="G51" s="33"/>
      <c r="I51" s="33">
        <v>40928.861662338306</v>
      </c>
      <c r="J51" s="26" t="s">
        <v>15</v>
      </c>
      <c r="K51" s="66"/>
      <c r="L51" s="3"/>
      <c r="M51" s="2"/>
      <c r="N51" s="4">
        <v>41970.0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32" t="s">
        <v>70</v>
      </c>
      <c r="B52" s="20"/>
      <c r="C52" s="21">
        <v>11535.0</v>
      </c>
      <c r="D52" s="29">
        <v>11739.0</v>
      </c>
      <c r="E52" s="29"/>
      <c r="F52" s="24"/>
      <c r="G52" s="33"/>
      <c r="I52" s="33">
        <v>9751.82971532239</v>
      </c>
      <c r="J52" s="26" t="s">
        <v>15</v>
      </c>
      <c r="K52" s="66"/>
      <c r="L52" s="3"/>
      <c r="M52" s="2"/>
      <c r="N52" s="4">
        <v>11535.0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32" t="s">
        <v>71</v>
      </c>
      <c r="B53" s="20"/>
      <c r="C53" s="21">
        <f>1455.5+50000+3000+6440</f>
        <v>60895.5</v>
      </c>
      <c r="D53" s="29">
        <v>0.0</v>
      </c>
      <c r="E53" s="29"/>
      <c r="F53" s="24"/>
      <c r="G53" s="33"/>
      <c r="I53" s="33">
        <v>0.0</v>
      </c>
      <c r="J53" s="26"/>
      <c r="K53" s="24"/>
      <c r="L53" s="3"/>
      <c r="M53" s="2"/>
      <c r="N53" s="4">
        <v>0.0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32" t="s">
        <v>72</v>
      </c>
      <c r="B54" s="20"/>
      <c r="C54" s="21"/>
      <c r="D54" s="29">
        <v>50.0</v>
      </c>
      <c r="E54" s="29"/>
      <c r="F54" s="24"/>
      <c r="G54" s="33"/>
      <c r="I54" s="33">
        <v>50.0</v>
      </c>
      <c r="J54" s="26" t="s">
        <v>15</v>
      </c>
      <c r="K54" s="2"/>
      <c r="L54" s="3"/>
      <c r="M54" s="2"/>
      <c r="N54" s="4">
        <v>50.0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32" t="s">
        <v>73</v>
      </c>
      <c r="B55" s="20"/>
      <c r="C55" s="21"/>
      <c r="D55" s="29">
        <v>0.0</v>
      </c>
      <c r="E55" s="29"/>
      <c r="F55" s="24"/>
      <c r="G55" s="33"/>
      <c r="I55" s="33">
        <v>0.0</v>
      </c>
      <c r="J55" s="26" t="s">
        <v>15</v>
      </c>
      <c r="K55" s="2"/>
      <c r="L55" s="3"/>
      <c r="M55" s="2"/>
      <c r="N55" s="4">
        <v>0.0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67" t="s">
        <v>74</v>
      </c>
      <c r="B56" s="68"/>
      <c r="C56" s="69"/>
      <c r="D56" s="70"/>
      <c r="E56" s="70"/>
      <c r="F56" s="71"/>
      <c r="G56" s="72"/>
      <c r="H56" s="73"/>
      <c r="I56" s="72">
        <v>0.0</v>
      </c>
      <c r="J56" s="26"/>
      <c r="K56" s="2"/>
      <c r="L56" s="3"/>
      <c r="M56" s="2"/>
      <c r="N56" s="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67" t="s">
        <v>75</v>
      </c>
      <c r="B57" s="68"/>
      <c r="C57" s="69"/>
      <c r="D57" s="70">
        <v>300.0</v>
      </c>
      <c r="E57" s="70"/>
      <c r="F57" s="71"/>
      <c r="G57" s="72"/>
      <c r="H57" s="73"/>
      <c r="I57" s="72">
        <v>300.0</v>
      </c>
      <c r="J57" s="26" t="s">
        <v>15</v>
      </c>
      <c r="K57" s="2"/>
      <c r="L57" s="3"/>
      <c r="M57" s="2"/>
      <c r="N57" s="4">
        <v>300.0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12" t="s">
        <v>76</v>
      </c>
      <c r="B58" s="2"/>
      <c r="C58" s="74">
        <v>1900.0</v>
      </c>
      <c r="D58" s="75"/>
      <c r="E58" s="75">
        <v>5000.0</v>
      </c>
      <c r="F58" s="24"/>
      <c r="G58" s="76"/>
      <c r="I58" s="76">
        <v>0.0</v>
      </c>
      <c r="J58" s="26"/>
      <c r="K58" s="2"/>
      <c r="L58" s="3"/>
      <c r="M58" s="2"/>
      <c r="N58" s="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77" t="s">
        <v>77</v>
      </c>
      <c r="B59" s="78"/>
      <c r="C59" s="47">
        <f t="shared" ref="C59:E59" si="3">SUM(C23:C58)</f>
        <v>323331.92</v>
      </c>
      <c r="D59" s="48">
        <f t="shared" si="3"/>
        <v>263905.108</v>
      </c>
      <c r="E59" s="48">
        <f t="shared" si="3"/>
        <v>15568.35</v>
      </c>
      <c r="F59" s="79"/>
      <c r="G59" s="80">
        <f>SUM(G23:G58)</f>
        <v>10000</v>
      </c>
      <c r="I59" s="80">
        <f>SUM(I23:I58)</f>
        <v>265432.8154</v>
      </c>
      <c r="J59" s="81"/>
      <c r="K59" s="24"/>
      <c r="L59" s="3"/>
      <c r="M59" s="2"/>
      <c r="N59" s="4">
        <v>256298.0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49" t="s">
        <v>78</v>
      </c>
      <c r="B60" s="49"/>
      <c r="C60" s="82"/>
      <c r="D60" s="51"/>
      <c r="E60" s="51"/>
      <c r="J60" s="2"/>
      <c r="K60" s="2"/>
      <c r="L60" s="3"/>
      <c r="M60" s="2"/>
      <c r="N60" s="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83" t="s">
        <v>79</v>
      </c>
      <c r="B61" s="84"/>
      <c r="C61" s="55">
        <f>48686.57+94051.19</f>
        <v>142737.76</v>
      </c>
      <c r="D61" s="56">
        <v>178053.0</v>
      </c>
      <c r="E61" s="56">
        <v>165566.83</v>
      </c>
      <c r="F61" s="24"/>
      <c r="G61" s="56"/>
      <c r="I61" s="85">
        <f>FEECALC!O45</f>
        <v>171890.15</v>
      </c>
      <c r="J61" s="2" t="s">
        <v>17</v>
      </c>
      <c r="K61" s="24"/>
      <c r="L61" s="3"/>
      <c r="M61" s="2"/>
      <c r="N61" s="4">
        <v>178680.0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86" t="s">
        <v>80</v>
      </c>
      <c r="B62" s="87"/>
      <c r="C62" s="69">
        <v>156554.19</v>
      </c>
      <c r="D62" s="70">
        <v>148837.0</v>
      </c>
      <c r="E62" s="70"/>
      <c r="F62" s="24"/>
      <c r="G62" s="88"/>
      <c r="I62" s="88">
        <f>FEECALC!O52</f>
        <v>145326.25</v>
      </c>
      <c r="J62" s="2" t="s">
        <v>19</v>
      </c>
      <c r="K62" s="89"/>
      <c r="L62" s="3"/>
      <c r="M62" s="2"/>
      <c r="N62" s="4">
        <v>146680.0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9" t="s">
        <v>20</v>
      </c>
      <c r="B63" s="27"/>
      <c r="C63" s="21">
        <v>16256.42</v>
      </c>
      <c r="D63" s="29">
        <v>0.0</v>
      </c>
      <c r="E63" s="29"/>
      <c r="F63" s="24"/>
      <c r="G63" s="29"/>
      <c r="I63" s="29">
        <f>I10</f>
        <v>0</v>
      </c>
      <c r="J63" s="2"/>
      <c r="K63" s="2"/>
      <c r="L63" s="3"/>
      <c r="M63" s="2"/>
      <c r="N63" s="4">
        <v>0.0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39" t="s">
        <v>81</v>
      </c>
      <c r="B64" s="40"/>
      <c r="C64" s="41">
        <f>1000+200+1000+452.06+750+1000+998.06+1000+852.04+1000+282.89+1000+205.19+794.2+741.43+216.22+1000+360+1000+250+1000</f>
        <v>15102.09</v>
      </c>
      <c r="D64" s="56">
        <v>46390.0</v>
      </c>
      <c r="E64" s="42">
        <v>100792.84</v>
      </c>
      <c r="F64" s="43"/>
      <c r="G64" s="42"/>
      <c r="H64" s="90">
        <v>0.85</v>
      </c>
      <c r="I64" s="41">
        <v>46390.0</v>
      </c>
      <c r="J64" s="2" t="s">
        <v>30</v>
      </c>
      <c r="K64" s="91"/>
      <c r="L64" s="3"/>
      <c r="M64" s="3"/>
      <c r="N64" s="4">
        <v>0.6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39" t="s">
        <v>82</v>
      </c>
      <c r="B65" s="40"/>
      <c r="C65" s="41">
        <f>354+1149.8+11297.7</f>
        <v>12801.5</v>
      </c>
      <c r="D65" s="56">
        <v>8187.0</v>
      </c>
      <c r="E65" s="42">
        <v>140429.12</v>
      </c>
      <c r="F65" s="43"/>
      <c r="G65" s="42"/>
      <c r="H65" s="90">
        <v>0.15</v>
      </c>
      <c r="I65" s="41">
        <v>8187.0</v>
      </c>
      <c r="J65" s="2" t="s">
        <v>30</v>
      </c>
      <c r="K65" s="91"/>
      <c r="L65" s="3"/>
      <c r="M65" s="2"/>
      <c r="N65" s="4">
        <v>0.4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39" t="s">
        <v>83</v>
      </c>
      <c r="B66" s="40"/>
      <c r="C66" s="41"/>
      <c r="D66" s="56">
        <v>12672.0</v>
      </c>
      <c r="E66" s="42"/>
      <c r="F66" s="43"/>
      <c r="G66" s="42"/>
      <c r="H66" s="51"/>
      <c r="I66" s="41">
        <f>'STIPENDS '!I28</f>
        <v>12672</v>
      </c>
      <c r="J66" s="2" t="s">
        <v>30</v>
      </c>
      <c r="K66" s="91"/>
      <c r="L66" s="3"/>
      <c r="M66" s="2"/>
      <c r="N66" s="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32" t="s">
        <v>84</v>
      </c>
      <c r="B67" s="20"/>
      <c r="C67" s="21"/>
      <c r="D67" s="29">
        <v>0.0</v>
      </c>
      <c r="E67" s="29"/>
      <c r="F67" s="24"/>
      <c r="G67" s="29"/>
      <c r="I67" s="29">
        <v>0.0</v>
      </c>
      <c r="J67" s="2"/>
      <c r="K67" s="2"/>
      <c r="L67" s="3"/>
      <c r="M67" s="2"/>
      <c r="N67" s="4">
        <v>0.0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9" t="s">
        <v>62</v>
      </c>
      <c r="B68" s="20"/>
      <c r="C68" s="21"/>
      <c r="D68" s="29">
        <v>0.0</v>
      </c>
      <c r="E68" s="29"/>
      <c r="F68" s="24"/>
      <c r="G68" s="29"/>
      <c r="I68" s="29">
        <v>0.0</v>
      </c>
      <c r="J68" s="2"/>
      <c r="K68" s="2"/>
      <c r="L68" s="3"/>
      <c r="M68" s="2"/>
      <c r="N68" s="4">
        <v>0.0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92" t="s">
        <v>26</v>
      </c>
      <c r="B69" s="20"/>
      <c r="C69" s="21"/>
      <c r="D69" s="29">
        <v>0.0</v>
      </c>
      <c r="E69" s="29"/>
      <c r="F69" s="24"/>
      <c r="G69" s="29"/>
      <c r="I69" s="29">
        <v>0.0</v>
      </c>
      <c r="J69" s="2"/>
      <c r="K69" s="2"/>
      <c r="L69" s="3"/>
      <c r="M69" s="2"/>
      <c r="N69" s="4">
        <v>0.0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92" t="s">
        <v>85</v>
      </c>
      <c r="B70" s="20"/>
      <c r="C70" s="21">
        <f>6930+3500</f>
        <v>10430</v>
      </c>
      <c r="D70" s="29">
        <v>2000.0</v>
      </c>
      <c r="E70" s="38">
        <v>2089.56</v>
      </c>
      <c r="F70" s="24"/>
      <c r="G70" s="38"/>
      <c r="I70" s="38">
        <v>1000.0</v>
      </c>
      <c r="J70" s="2" t="s">
        <v>27</v>
      </c>
      <c r="K70" s="24"/>
      <c r="L70" s="3"/>
      <c r="M70" s="2"/>
      <c r="N70" s="4">
        <v>2000.0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9" t="s">
        <v>62</v>
      </c>
      <c r="B71" s="20"/>
      <c r="C71" s="21">
        <f>20774.26+24521.98</f>
        <v>45296.24</v>
      </c>
      <c r="D71" s="29">
        <v>9338.0</v>
      </c>
      <c r="E71" s="38"/>
      <c r="F71" s="35"/>
      <c r="G71" s="38"/>
      <c r="I71" s="38">
        <v>5000.0</v>
      </c>
      <c r="J71" s="2" t="s">
        <v>27</v>
      </c>
      <c r="K71" s="2"/>
      <c r="L71" s="3"/>
      <c r="M71" s="24"/>
      <c r="N71" s="4">
        <v>13666.0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92" t="s">
        <v>86</v>
      </c>
      <c r="B72" s="20"/>
      <c r="C72" s="21"/>
      <c r="D72" s="29"/>
      <c r="E72" s="38"/>
      <c r="F72" s="35"/>
      <c r="G72" s="38"/>
      <c r="I72" s="38"/>
      <c r="J72" s="2"/>
      <c r="K72" s="2"/>
      <c r="L72" s="3"/>
      <c r="M72" s="2"/>
      <c r="N72" s="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92" t="s">
        <v>87</v>
      </c>
      <c r="B73" s="27"/>
      <c r="C73" s="21">
        <f>234+6423.14+14000+3000+494.29+1250</f>
        <v>25401.43</v>
      </c>
      <c r="D73" s="29">
        <v>31000.0</v>
      </c>
      <c r="E73" s="38">
        <v>-11456.69</v>
      </c>
      <c r="F73" s="35"/>
      <c r="G73" s="38"/>
      <c r="I73" s="38">
        <f>10000-495</f>
        <v>9505</v>
      </c>
      <c r="J73" s="2" t="s">
        <v>27</v>
      </c>
      <c r="K73" s="2"/>
      <c r="L73" s="3"/>
      <c r="M73" s="2"/>
      <c r="N73" s="4">
        <v>36000.0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93" t="s">
        <v>88</v>
      </c>
      <c r="B74" s="20"/>
      <c r="C74" s="21">
        <v>584.02</v>
      </c>
      <c r="D74" s="29">
        <v>5000.0</v>
      </c>
      <c r="E74" s="38">
        <v>9709.13</v>
      </c>
      <c r="F74" s="35"/>
      <c r="G74" s="38"/>
      <c r="I74" s="38">
        <v>1000.0</v>
      </c>
      <c r="J74" s="2" t="s">
        <v>27</v>
      </c>
      <c r="K74" s="24"/>
      <c r="L74" s="3"/>
      <c r="M74" s="2"/>
      <c r="N74" s="4">
        <v>10000.0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93" t="s">
        <v>89</v>
      </c>
      <c r="B75" s="20"/>
      <c r="C75" s="21"/>
      <c r="D75" s="29">
        <v>14328.0</v>
      </c>
      <c r="E75" s="29"/>
      <c r="F75" s="35"/>
      <c r="G75" s="38"/>
      <c r="H75" s="51"/>
      <c r="I75" s="38">
        <f>'STIPENDS '!I27</f>
        <v>14328</v>
      </c>
      <c r="J75" s="2" t="s">
        <v>27</v>
      </c>
      <c r="K75" s="24"/>
      <c r="L75" s="3"/>
      <c r="M75" s="2"/>
      <c r="N75" s="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9" t="s">
        <v>90</v>
      </c>
      <c r="B76" s="20"/>
      <c r="C76" s="21"/>
      <c r="D76" s="29"/>
      <c r="E76" s="37"/>
      <c r="F76" s="35"/>
      <c r="G76" s="29"/>
      <c r="I76" s="29"/>
      <c r="J76" s="2"/>
      <c r="K76" s="24"/>
      <c r="L76" s="3"/>
      <c r="M76" s="2"/>
      <c r="N76" s="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32" t="s">
        <v>66</v>
      </c>
      <c r="B77" s="20"/>
      <c r="C77" s="21"/>
      <c r="D77" s="29">
        <v>0.0</v>
      </c>
      <c r="E77" s="37"/>
      <c r="F77" s="35"/>
      <c r="G77" s="29"/>
      <c r="I77" s="29">
        <v>0.0</v>
      </c>
      <c r="J77" s="2"/>
      <c r="K77" s="2"/>
      <c r="L77" s="3"/>
      <c r="M77" s="2"/>
      <c r="N77" s="4">
        <v>0.0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94" t="s">
        <v>91</v>
      </c>
      <c r="B78" s="95"/>
      <c r="C78" s="96">
        <f t="shared" ref="C78:E78" si="4">SUM(C61:C77)</f>
        <v>425163.65</v>
      </c>
      <c r="D78" s="97">
        <f t="shared" si="4"/>
        <v>455805</v>
      </c>
      <c r="E78" s="97">
        <f t="shared" si="4"/>
        <v>407130.79</v>
      </c>
      <c r="F78" s="24"/>
      <c r="G78" s="97">
        <f>SUM(G61:G77)</f>
        <v>0</v>
      </c>
      <c r="I78" s="97">
        <f>SUM(I61:I77)</f>
        <v>415298.4</v>
      </c>
      <c r="J78" s="2"/>
      <c r="K78" s="2"/>
      <c r="L78" s="3"/>
      <c r="M78" s="2"/>
      <c r="N78" s="4">
        <v>387026.0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98" t="s">
        <v>92</v>
      </c>
      <c r="B79" s="99"/>
      <c r="C79" s="100">
        <f t="shared" ref="C79:E79" si="5">+C59+C78</f>
        <v>748495.57</v>
      </c>
      <c r="D79" s="101">
        <f t="shared" si="5"/>
        <v>719710.108</v>
      </c>
      <c r="E79" s="101">
        <f t="shared" si="5"/>
        <v>422699.14</v>
      </c>
      <c r="F79" s="79"/>
      <c r="G79" s="102">
        <f>G59+G78</f>
        <v>10000</v>
      </c>
      <c r="H79" s="103"/>
      <c r="I79" s="102">
        <f>+I59+I78</f>
        <v>680731.2154</v>
      </c>
      <c r="J79" s="24"/>
      <c r="K79" s="89"/>
      <c r="L79" s="3"/>
      <c r="M79" s="2"/>
      <c r="N79" s="4">
        <v>643324.0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45" t="s">
        <v>93</v>
      </c>
      <c r="B80" s="46"/>
      <c r="C80" s="47">
        <f t="shared" ref="C80:E80" si="6">+C21-C79</f>
        <v>468859.49</v>
      </c>
      <c r="D80" s="48">
        <f t="shared" si="6"/>
        <v>-0.108</v>
      </c>
      <c r="E80" s="48">
        <f t="shared" si="6"/>
        <v>0.3700000001</v>
      </c>
      <c r="F80" s="24"/>
      <c r="G80" s="104">
        <f>G21-G79</f>
        <v>0</v>
      </c>
      <c r="I80" s="104">
        <f>+I21-I79</f>
        <v>-0.2153776607</v>
      </c>
      <c r="J80" s="2"/>
      <c r="K80" s="2"/>
      <c r="L80" s="3"/>
      <c r="M80" s="2"/>
      <c r="N80" s="4">
        <v>0.0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91"/>
      <c r="D81" s="24"/>
      <c r="E81" s="24"/>
      <c r="F81" s="24"/>
      <c r="G81" s="24"/>
      <c r="I81" s="24"/>
      <c r="J81" s="2"/>
      <c r="K81" s="2"/>
      <c r="L81" s="3"/>
      <c r="M81" s="2"/>
      <c r="N81" s="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49" t="s">
        <v>94</v>
      </c>
      <c r="B82" s="49"/>
      <c r="C82" s="105"/>
      <c r="D82" s="24"/>
      <c r="E82" s="24"/>
      <c r="F82" s="24"/>
      <c r="G82" s="24"/>
      <c r="I82" s="2"/>
      <c r="J82" s="2"/>
      <c r="K82" s="2"/>
      <c r="L82" s="3"/>
      <c r="M82" s="2"/>
      <c r="N82" s="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49" t="s">
        <v>95</v>
      </c>
      <c r="B83" s="49"/>
      <c r="C83" s="105"/>
      <c r="D83" s="24"/>
      <c r="E83" s="24"/>
      <c r="F83" s="24"/>
      <c r="G83" s="24"/>
      <c r="I83" s="2"/>
      <c r="J83" s="2"/>
      <c r="K83" s="2"/>
      <c r="L83" s="3"/>
      <c r="M83" s="2"/>
      <c r="N83" s="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49" t="s">
        <v>96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 t="s">
        <v>97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1" t="s">
        <v>7</v>
      </c>
      <c r="H87" s="2"/>
      <c r="I87" s="2" t="s">
        <v>98</v>
      </c>
      <c r="J87" s="2"/>
      <c r="K87" s="2"/>
      <c r="L87" s="3"/>
      <c r="M87" s="2"/>
      <c r="N87" s="4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9" t="s">
        <v>99</v>
      </c>
      <c r="B88" s="20"/>
      <c r="C88" s="21"/>
      <c r="D88" s="29"/>
      <c r="E88" s="29"/>
      <c r="F88" s="24"/>
      <c r="G88" s="106">
        <v>9486.35</v>
      </c>
      <c r="I88" s="107">
        <f t="shared" ref="I88:I100" si="7">G88*0.75</f>
        <v>7114.7625</v>
      </c>
      <c r="J88" s="2" t="s">
        <v>17</v>
      </c>
      <c r="K88" s="2"/>
      <c r="L88" s="3"/>
      <c r="M88" s="2"/>
      <c r="N88" s="4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9" t="s">
        <v>100</v>
      </c>
      <c r="B89" s="20"/>
      <c r="C89" s="21"/>
      <c r="D89" s="29"/>
      <c r="E89" s="29"/>
      <c r="F89" s="24"/>
      <c r="G89" s="106">
        <v>11521.62</v>
      </c>
      <c r="I89" s="107">
        <f t="shared" si="7"/>
        <v>8641.215</v>
      </c>
      <c r="J89" s="2" t="s">
        <v>17</v>
      </c>
      <c r="K89" s="2"/>
      <c r="L89" s="3"/>
      <c r="M89" s="2"/>
      <c r="N89" s="4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9" t="s">
        <v>101</v>
      </c>
      <c r="B90" s="20"/>
      <c r="C90" s="21"/>
      <c r="D90" s="29"/>
      <c r="E90" s="29"/>
      <c r="F90" s="24"/>
      <c r="G90" s="106">
        <v>5171.43</v>
      </c>
      <c r="I90" s="107">
        <f t="shared" si="7"/>
        <v>3878.5725</v>
      </c>
      <c r="J90" s="2" t="s">
        <v>17</v>
      </c>
      <c r="K90" s="2"/>
      <c r="L90" s="3"/>
      <c r="M90" s="2"/>
      <c r="N90" s="4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9" t="s">
        <v>102</v>
      </c>
      <c r="B91" s="20"/>
      <c r="C91" s="21"/>
      <c r="D91" s="29"/>
      <c r="E91" s="29"/>
      <c r="F91" s="24"/>
      <c r="G91" s="106">
        <v>7905.3</v>
      </c>
      <c r="I91" s="107">
        <f t="shared" si="7"/>
        <v>5928.975</v>
      </c>
      <c r="J91" s="2" t="s">
        <v>17</v>
      </c>
      <c r="K91" s="2"/>
      <c r="L91" s="3"/>
      <c r="M91" s="2"/>
      <c r="N91" s="4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9" t="s">
        <v>103</v>
      </c>
      <c r="B92" s="20"/>
      <c r="C92" s="21"/>
      <c r="D92" s="29"/>
      <c r="E92" s="29"/>
      <c r="F92" s="24"/>
      <c r="G92" s="106">
        <v>26644.42</v>
      </c>
      <c r="I92" s="107">
        <f t="shared" si="7"/>
        <v>19983.315</v>
      </c>
      <c r="J92" s="2" t="s">
        <v>17</v>
      </c>
      <c r="K92" s="2"/>
      <c r="L92" s="3"/>
      <c r="M92" s="2"/>
      <c r="N92" s="4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9" t="s">
        <v>104</v>
      </c>
      <c r="B93" s="20"/>
      <c r="C93" s="21"/>
      <c r="D93" s="29"/>
      <c r="E93" s="29"/>
      <c r="F93" s="24"/>
      <c r="G93" s="106">
        <v>6272.33</v>
      </c>
      <c r="I93" s="107">
        <f t="shared" si="7"/>
        <v>4704.2475</v>
      </c>
      <c r="J93" s="2" t="s">
        <v>17</v>
      </c>
      <c r="K93" s="2"/>
      <c r="L93" s="3"/>
      <c r="M93" s="2"/>
      <c r="N93" s="4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9" t="s">
        <v>105</v>
      </c>
      <c r="B94" s="20"/>
      <c r="C94" s="21"/>
      <c r="D94" s="29"/>
      <c r="E94" s="29"/>
      <c r="F94" s="24"/>
      <c r="G94" s="106">
        <v>15290.42</v>
      </c>
      <c r="I94" s="107">
        <f t="shared" si="7"/>
        <v>11467.815</v>
      </c>
      <c r="J94" s="2" t="s">
        <v>17</v>
      </c>
      <c r="K94" s="2"/>
      <c r="L94" s="3"/>
      <c r="M94" s="2"/>
      <c r="N94" s="4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9" t="s">
        <v>106</v>
      </c>
      <c r="B95" s="20"/>
      <c r="C95" s="21"/>
      <c r="D95" s="29"/>
      <c r="E95" s="29"/>
      <c r="F95" s="24"/>
      <c r="G95" s="106">
        <v>26761.21</v>
      </c>
      <c r="I95" s="107">
        <f t="shared" si="7"/>
        <v>20070.9075</v>
      </c>
      <c r="J95" s="2" t="s">
        <v>17</v>
      </c>
      <c r="K95" s="2"/>
      <c r="L95" s="3"/>
      <c r="M95" s="2"/>
      <c r="N95" s="4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9" t="s">
        <v>107</v>
      </c>
      <c r="B96" s="20"/>
      <c r="C96" s="21"/>
      <c r="D96" s="29"/>
      <c r="E96" s="29"/>
      <c r="F96" s="24"/>
      <c r="G96" s="106">
        <v>10710.54</v>
      </c>
      <c r="I96" s="107">
        <f t="shared" si="7"/>
        <v>8032.905</v>
      </c>
      <c r="J96" s="2" t="s">
        <v>17</v>
      </c>
      <c r="K96" s="2"/>
      <c r="L96" s="3"/>
      <c r="M96" s="2"/>
      <c r="N96" s="4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9" t="s">
        <v>108</v>
      </c>
      <c r="B97" s="20"/>
      <c r="C97" s="21"/>
      <c r="D97" s="29"/>
      <c r="E97" s="29"/>
      <c r="F97" s="24"/>
      <c r="G97" s="106">
        <v>26512.48</v>
      </c>
      <c r="I97" s="107">
        <f t="shared" si="7"/>
        <v>19884.36</v>
      </c>
      <c r="J97" s="2" t="s">
        <v>17</v>
      </c>
      <c r="K97" s="2"/>
      <c r="L97" s="3"/>
      <c r="M97" s="2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9" t="s">
        <v>109</v>
      </c>
      <c r="B98" s="20"/>
      <c r="C98" s="21"/>
      <c r="D98" s="29"/>
      <c r="E98" s="29"/>
      <c r="F98" s="24"/>
      <c r="G98" s="106">
        <v>5342.29</v>
      </c>
      <c r="I98" s="107">
        <f t="shared" si="7"/>
        <v>4006.7175</v>
      </c>
      <c r="J98" s="2" t="s">
        <v>17</v>
      </c>
      <c r="K98" s="2"/>
      <c r="L98" s="3"/>
      <c r="M98" s="2"/>
      <c r="N98" s="4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9" t="s">
        <v>110</v>
      </c>
      <c r="B99" s="20"/>
      <c r="C99" s="21"/>
      <c r="D99" s="29"/>
      <c r="E99" s="29"/>
      <c r="F99" s="24"/>
      <c r="G99" s="106">
        <v>7665.22</v>
      </c>
      <c r="I99" s="107">
        <f t="shared" si="7"/>
        <v>5748.915</v>
      </c>
      <c r="J99" s="2" t="s">
        <v>17</v>
      </c>
      <c r="K99" s="2"/>
      <c r="L99" s="3"/>
      <c r="M99" s="2"/>
      <c r="N99" s="4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9" t="s">
        <v>111</v>
      </c>
      <c r="B100" s="20"/>
      <c r="C100" s="21"/>
      <c r="D100" s="29"/>
      <c r="E100" s="29"/>
      <c r="F100" s="24"/>
      <c r="G100" s="106">
        <v>18769.4</v>
      </c>
      <c r="I100" s="107">
        <f t="shared" si="7"/>
        <v>14077.05</v>
      </c>
      <c r="J100" s="2" t="s">
        <v>17</v>
      </c>
      <c r="K100" s="2"/>
      <c r="L100" s="3"/>
      <c r="M100" s="2"/>
      <c r="N100" s="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39" t="s">
        <v>112</v>
      </c>
      <c r="B101" s="108"/>
      <c r="C101" s="2"/>
      <c r="D101" s="2"/>
      <c r="E101" s="2"/>
      <c r="F101" s="2"/>
      <c r="G101" s="109">
        <f>SUM(G88:G100)</f>
        <v>178053.01</v>
      </c>
      <c r="H101" s="2"/>
      <c r="I101" s="110">
        <f>SUM(I88:I100)</f>
        <v>133539.7575</v>
      </c>
      <c r="J101" s="2" t="s">
        <v>17</v>
      </c>
      <c r="K101" s="2"/>
      <c r="L101" s="3"/>
      <c r="M101" s="2"/>
      <c r="N101" s="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3"/>
      <c r="M215" s="2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3"/>
      <c r="M216" s="2"/>
      <c r="N216" s="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3"/>
      <c r="M217" s="2"/>
      <c r="N217" s="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3"/>
      <c r="M218" s="2"/>
      <c r="N218" s="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3"/>
      <c r="M219" s="2"/>
      <c r="N219" s="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3"/>
      <c r="M220" s="2"/>
      <c r="N220" s="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3"/>
      <c r="M221" s="2"/>
      <c r="N221" s="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3"/>
      <c r="M222" s="2"/>
      <c r="N222" s="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3"/>
      <c r="M223" s="2"/>
      <c r="N223" s="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3"/>
      <c r="M224" s="2"/>
      <c r="N224" s="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3"/>
      <c r="M225" s="2"/>
      <c r="N225" s="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3"/>
      <c r="M226" s="2"/>
      <c r="N226" s="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3"/>
      <c r="M227" s="2"/>
      <c r="N227" s="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3"/>
      <c r="M228" s="2"/>
      <c r="N228" s="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3"/>
      <c r="M229" s="2"/>
      <c r="N229" s="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3"/>
      <c r="M230" s="2"/>
      <c r="N230" s="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  <c r="M231" s="2"/>
      <c r="N231" s="4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  <c r="M232" s="2"/>
      <c r="N232" s="4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3"/>
      <c r="M233" s="2"/>
      <c r="N233" s="4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3"/>
      <c r="M234" s="2"/>
      <c r="N234" s="4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3"/>
      <c r="M235" s="2"/>
      <c r="N235" s="4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3"/>
      <c r="M236" s="2"/>
      <c r="N236" s="4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3"/>
      <c r="M237" s="2"/>
      <c r="N237" s="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3"/>
      <c r="M238" s="2"/>
      <c r="N238" s="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3"/>
      <c r="M239" s="2"/>
      <c r="N239" s="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3"/>
      <c r="M240" s="2"/>
      <c r="N240" s="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3"/>
      <c r="M241" s="2"/>
      <c r="N241" s="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3"/>
      <c r="M242" s="2"/>
      <c r="N242" s="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3"/>
      <c r="M243" s="2"/>
      <c r="N243" s="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3"/>
      <c r="M244" s="2"/>
      <c r="N244" s="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3"/>
      <c r="M245" s="2"/>
      <c r="N245" s="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3"/>
      <c r="M246" s="2"/>
      <c r="N246" s="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3"/>
      <c r="M247" s="2"/>
      <c r="N247" s="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3"/>
      <c r="M248" s="2"/>
      <c r="N248" s="4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3"/>
      <c r="M249" s="2"/>
      <c r="N249" s="4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3"/>
      <c r="M250" s="2"/>
      <c r="N250" s="4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3"/>
      <c r="M251" s="2"/>
      <c r="N251" s="4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3"/>
      <c r="M252" s="2"/>
      <c r="N252" s="4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  <c r="M253" s="2"/>
      <c r="N253" s="4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  <c r="M254" s="2"/>
      <c r="N254" s="4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3"/>
      <c r="M255" s="2"/>
      <c r="N255" s="4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3"/>
      <c r="M256" s="2"/>
      <c r="N256" s="4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3"/>
      <c r="M257" s="2"/>
      <c r="N257" s="4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3"/>
      <c r="M258" s="2"/>
      <c r="N258" s="4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3"/>
      <c r="M259" s="2"/>
      <c r="N259" s="4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3"/>
      <c r="M260" s="2"/>
      <c r="N260" s="4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3"/>
      <c r="M261" s="2"/>
      <c r="N261" s="4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3"/>
      <c r="M262" s="2"/>
      <c r="N262" s="4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3"/>
      <c r="M263" s="2"/>
      <c r="N263" s="4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3"/>
      <c r="M264" s="2"/>
      <c r="N264" s="4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3"/>
      <c r="M265" s="2"/>
      <c r="N265" s="4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3"/>
      <c r="M266" s="2"/>
      <c r="N266" s="4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3"/>
      <c r="M267" s="2"/>
      <c r="N267" s="4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3"/>
      <c r="M268" s="2"/>
      <c r="N268" s="4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3"/>
      <c r="M269" s="2"/>
      <c r="N269" s="4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3"/>
      <c r="M270" s="2"/>
      <c r="N270" s="4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3"/>
      <c r="M271" s="2"/>
      <c r="N271" s="4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3"/>
      <c r="M272" s="2"/>
      <c r="N272" s="4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3"/>
      <c r="M273" s="2"/>
      <c r="N273" s="4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3"/>
      <c r="M274" s="2"/>
      <c r="N274" s="4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3"/>
      <c r="M275" s="2"/>
      <c r="N275" s="4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  <c r="M276" s="2"/>
      <c r="N276" s="4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  <c r="M277" s="2"/>
      <c r="N277" s="4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3"/>
      <c r="M278" s="2"/>
      <c r="N278" s="4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3"/>
      <c r="M279" s="2"/>
      <c r="N279" s="4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3"/>
      <c r="M280" s="2"/>
      <c r="N280" s="4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3"/>
      <c r="M281" s="2"/>
      <c r="N281" s="4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"/>
      <c r="M282" s="2"/>
      <c r="N282" s="4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3"/>
      <c r="M283" s="2"/>
      <c r="N283" s="4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3"/>
      <c r="M284" s="2"/>
      <c r="N284" s="4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3"/>
      <c r="M285" s="2"/>
      <c r="N285" s="4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3"/>
      <c r="M286" s="2"/>
      <c r="N286" s="4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3"/>
      <c r="M287" s="2"/>
      <c r="N287" s="4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3"/>
      <c r="M288" s="2"/>
      <c r="N288" s="4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3"/>
      <c r="M289" s="2"/>
      <c r="N289" s="4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3"/>
      <c r="M290" s="2"/>
      <c r="N290" s="4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3"/>
      <c r="M291" s="2"/>
      <c r="N291" s="4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3"/>
      <c r="M292" s="2"/>
      <c r="N292" s="4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3"/>
      <c r="M293" s="2"/>
      <c r="N293" s="4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3"/>
      <c r="M294" s="2"/>
      <c r="N294" s="4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3"/>
      <c r="M295" s="2"/>
      <c r="N295" s="4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3"/>
      <c r="M296" s="2"/>
      <c r="N296" s="4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3"/>
      <c r="M297" s="2"/>
      <c r="N297" s="4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3"/>
      <c r="M298" s="2"/>
      <c r="N298" s="4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3"/>
      <c r="M299" s="2"/>
      <c r="N299" s="4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  <c r="M300" s="2"/>
      <c r="N300" s="4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  <c r="M301" s="2"/>
      <c r="N301" s="4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G1"/>
    <mergeCell ref="A2:H2"/>
    <mergeCell ref="A3:H3"/>
  </mergeCells>
  <printOptions/>
  <pageMargins bottom="0.75" footer="0.0" header="0.0" left="0.7" right="0.7" top="0.75"/>
  <pageSetup fitToWidth="0" orientation="portrait"/>
  <headerFooter>
    <oddHeader>&amp;RATTACHMENT A</oddHeader>
    <oddFooter>&amp;LASUCLA Student Support Services -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7.86"/>
    <col customWidth="1" min="2" max="2" width="11.0"/>
    <col customWidth="1" min="3" max="3" width="1.86"/>
    <col customWidth="1" min="4" max="4" width="11.0"/>
    <col customWidth="1" min="5" max="5" width="10.86"/>
    <col customWidth="1" min="6" max="6" width="11.0"/>
    <col customWidth="1" min="7" max="7" width="1.86"/>
    <col customWidth="1" min="8" max="8" width="5.29"/>
    <col customWidth="1" min="9" max="9" width="1.86"/>
    <col customWidth="1" min="10" max="10" width="4.14"/>
    <col customWidth="1" min="11" max="11" width="9.86"/>
    <col customWidth="1" min="12" max="12" width="4.14"/>
    <col customWidth="1" min="13" max="13" width="12.14"/>
    <col customWidth="1" min="14" max="14" width="4.14"/>
    <col customWidth="1" min="15" max="15" width="12.43"/>
    <col customWidth="1" min="16" max="19" width="11.0"/>
    <col customWidth="1" min="20" max="20" width="1.86"/>
    <col customWidth="1" min="21" max="21" width="11.0"/>
    <col customWidth="1" min="22" max="22" width="1.86"/>
    <col customWidth="1" min="23" max="23" width="8.71"/>
    <col customWidth="1" min="24" max="24" width="1.86"/>
    <col customWidth="1" min="25" max="25" width="5.29"/>
    <col customWidth="1" min="26" max="26" width="1.86"/>
    <col customWidth="1" min="27" max="27" width="4.14"/>
    <col customWidth="1" min="28" max="28" width="9.86"/>
  </cols>
  <sheetData>
    <row r="1" ht="12.75" customHeight="1">
      <c r="A1" s="111" t="s">
        <v>0</v>
      </c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ht="12.75" customHeight="1">
      <c r="A2" s="111" t="s">
        <v>1</v>
      </c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ht="12.75" customHeight="1">
      <c r="A3" s="111" t="s">
        <v>113</v>
      </c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ht="12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</row>
    <row r="5" ht="12.75" customHeight="1">
      <c r="A5" s="113" t="s">
        <v>114</v>
      </c>
      <c r="B5" s="111" t="s">
        <v>115</v>
      </c>
      <c r="C5" s="112"/>
      <c r="D5" s="111" t="s">
        <v>116</v>
      </c>
      <c r="E5" s="112"/>
      <c r="F5" s="111" t="s">
        <v>117</v>
      </c>
      <c r="G5" s="112"/>
      <c r="H5" s="112"/>
      <c r="I5" s="112"/>
      <c r="J5" s="112"/>
      <c r="K5" s="111" t="s">
        <v>118</v>
      </c>
      <c r="L5" s="112"/>
      <c r="M5" s="114"/>
      <c r="N5" s="112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 ht="12.7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1" t="s">
        <v>119</v>
      </c>
      <c r="L6" s="112"/>
      <c r="M6" s="114"/>
      <c r="N6" s="112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</row>
    <row r="7" ht="12.75" customHeight="1">
      <c r="A7" s="113" t="s">
        <v>120</v>
      </c>
      <c r="B7" s="24">
        <f>7300+700</f>
        <v>8000</v>
      </c>
      <c r="C7" s="112"/>
      <c r="D7" s="24">
        <v>7950.0</v>
      </c>
      <c r="E7" s="112"/>
      <c r="F7" s="24">
        <f t="shared" ref="F7:F19" si="1">B7-D7</f>
        <v>50</v>
      </c>
      <c r="G7" s="112"/>
      <c r="H7" s="112"/>
      <c r="I7" s="112"/>
      <c r="J7" s="112"/>
      <c r="K7" s="115">
        <f t="shared" ref="K7:K16" si="2">+F7/D7</f>
        <v>0.006289308176</v>
      </c>
      <c r="L7" s="112"/>
      <c r="M7" s="115">
        <f>(+F7+F8)/(D7+D8)</f>
        <v>0.01663911846</v>
      </c>
      <c r="N7" s="115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ht="12.75" customHeight="1">
      <c r="A8" s="113" t="s">
        <v>121</v>
      </c>
      <c r="B8" s="24">
        <f>930+296</f>
        <v>1226</v>
      </c>
      <c r="C8" s="112"/>
      <c r="D8" s="24">
        <v>1125.0</v>
      </c>
      <c r="E8" s="112"/>
      <c r="F8" s="24">
        <f t="shared" si="1"/>
        <v>101</v>
      </c>
      <c r="G8" s="112"/>
      <c r="H8" s="112"/>
      <c r="I8" s="112"/>
      <c r="J8" s="112"/>
      <c r="K8" s="115">
        <f t="shared" si="2"/>
        <v>0.08977777778</v>
      </c>
      <c r="L8" s="112"/>
      <c r="M8" s="114"/>
      <c r="N8" s="112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ht="12.75" customHeight="1">
      <c r="A9" s="113" t="s">
        <v>122</v>
      </c>
      <c r="B9" s="24">
        <v>87.0</v>
      </c>
      <c r="C9" s="112"/>
      <c r="D9" s="24">
        <v>84.0</v>
      </c>
      <c r="E9" s="112"/>
      <c r="F9" s="24">
        <f t="shared" si="1"/>
        <v>3</v>
      </c>
      <c r="G9" s="112"/>
      <c r="H9" s="112"/>
      <c r="I9" s="112"/>
      <c r="J9" s="112"/>
      <c r="K9" s="115">
        <f t="shared" si="2"/>
        <v>0.03571428571</v>
      </c>
      <c r="L9" s="112"/>
      <c r="M9" s="114"/>
      <c r="N9" s="112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ht="12.75" customHeight="1">
      <c r="A10" s="113" t="s">
        <v>123</v>
      </c>
      <c r="B10" s="24">
        <v>2230.0</v>
      </c>
      <c r="C10" s="112"/>
      <c r="D10" s="24">
        <v>2200.0</v>
      </c>
      <c r="E10" s="112"/>
      <c r="F10" s="24">
        <f t="shared" si="1"/>
        <v>30</v>
      </c>
      <c r="G10" s="112"/>
      <c r="H10" s="112"/>
      <c r="I10" s="112"/>
      <c r="J10" s="112"/>
      <c r="K10" s="115">
        <f t="shared" si="2"/>
        <v>0.01363636364</v>
      </c>
      <c r="L10" s="112"/>
      <c r="M10" s="114"/>
      <c r="N10" s="112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ht="12.75" customHeight="1">
      <c r="A11" s="113" t="s">
        <v>124</v>
      </c>
      <c r="B11" s="24">
        <f>SUM(B7:B10)</f>
        <v>11543</v>
      </c>
      <c r="C11" s="112"/>
      <c r="D11" s="24">
        <v>11359.0</v>
      </c>
      <c r="E11" s="112"/>
      <c r="F11" s="24">
        <f t="shared" si="1"/>
        <v>184</v>
      </c>
      <c r="G11" s="112"/>
      <c r="H11" s="112"/>
      <c r="I11" s="112"/>
      <c r="J11" s="112"/>
      <c r="K11" s="115">
        <f t="shared" si="2"/>
        <v>0.01619860903</v>
      </c>
      <c r="L11" s="112"/>
      <c r="M11" s="114"/>
      <c r="N11" s="112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ht="12.75" customHeight="1">
      <c r="A12" s="113" t="s">
        <v>125</v>
      </c>
      <c r="B12" s="116">
        <f>SUM(B15:B18)</f>
        <v>17.4</v>
      </c>
      <c r="C12" s="112"/>
      <c r="D12" s="116">
        <v>17.3475</v>
      </c>
      <c r="E12" s="112"/>
      <c r="F12" s="117">
        <f t="shared" si="1"/>
        <v>0.0525</v>
      </c>
      <c r="G12" s="118"/>
      <c r="H12" s="118"/>
      <c r="I12" s="118"/>
      <c r="J12" s="119"/>
      <c r="K12" s="115">
        <f t="shared" si="2"/>
        <v>0.003026372676</v>
      </c>
      <c r="L12" s="112"/>
      <c r="M12" s="120"/>
      <c r="N12" s="112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ht="12.75" customHeight="1">
      <c r="A13" s="113" t="s">
        <v>126</v>
      </c>
      <c r="B13" s="118">
        <v>35789.12</v>
      </c>
      <c r="C13" s="112"/>
      <c r="D13" s="118">
        <v>35789.12</v>
      </c>
      <c r="E13" s="112"/>
      <c r="F13" s="91">
        <f t="shared" si="1"/>
        <v>0</v>
      </c>
      <c r="G13" s="112"/>
      <c r="H13" s="112"/>
      <c r="I13" s="112"/>
      <c r="J13" s="112"/>
      <c r="K13" s="115">
        <f t="shared" si="2"/>
        <v>0</v>
      </c>
      <c r="L13" s="112"/>
      <c r="M13" s="112"/>
      <c r="N13" s="112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ht="12.75" customHeight="1">
      <c r="A14" s="113" t="s">
        <v>127</v>
      </c>
      <c r="B14" s="115">
        <v>2.5E-4</v>
      </c>
      <c r="C14" s="112"/>
      <c r="D14" s="115">
        <v>2.5E-4</v>
      </c>
      <c r="E14" s="115"/>
      <c r="F14" s="115">
        <f t="shared" si="1"/>
        <v>0</v>
      </c>
      <c r="G14" s="115"/>
      <c r="H14" s="115"/>
      <c r="I14" s="115"/>
      <c r="J14" s="115"/>
      <c r="K14" s="115">
        <f t="shared" si="2"/>
        <v>0</v>
      </c>
      <c r="L14" s="112"/>
      <c r="M14" s="112"/>
      <c r="N14" s="112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ht="12.75" customHeight="1">
      <c r="A15" s="113" t="s">
        <v>128</v>
      </c>
      <c r="B15" s="119">
        <v>7.25</v>
      </c>
      <c r="C15" s="112"/>
      <c r="D15" s="119">
        <v>7.25</v>
      </c>
      <c r="E15" s="112"/>
      <c r="F15" s="117">
        <f t="shared" si="1"/>
        <v>0</v>
      </c>
      <c r="G15" s="112"/>
      <c r="H15" s="112"/>
      <c r="I15" s="112"/>
      <c r="J15" s="112"/>
      <c r="K15" s="115">
        <f t="shared" si="2"/>
        <v>0</v>
      </c>
      <c r="L15" s="112"/>
      <c r="M15" s="112"/>
      <c r="N15" s="112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ht="12.75" customHeight="1">
      <c r="A16" s="113" t="s">
        <v>129</v>
      </c>
      <c r="B16" s="119">
        <v>5.5</v>
      </c>
      <c r="C16" s="112"/>
      <c r="D16" s="119">
        <v>5.5</v>
      </c>
      <c r="E16" s="112"/>
      <c r="F16" s="117">
        <f t="shared" si="1"/>
        <v>0</v>
      </c>
      <c r="G16" s="112"/>
      <c r="H16" s="112"/>
      <c r="I16" s="112"/>
      <c r="J16" s="112"/>
      <c r="K16" s="115">
        <f t="shared" si="2"/>
        <v>0</v>
      </c>
      <c r="L16" s="112"/>
      <c r="M16" s="112"/>
      <c r="N16" s="112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ht="12.75" customHeight="1">
      <c r="A17" s="113" t="s">
        <v>130</v>
      </c>
      <c r="B17" s="116">
        <f>6.2*0.75</f>
        <v>4.65</v>
      </c>
      <c r="C17" s="112"/>
      <c r="D17" s="116">
        <v>4.5975</v>
      </c>
      <c r="E17" s="112"/>
      <c r="F17" s="117">
        <f t="shared" si="1"/>
        <v>0.0525</v>
      </c>
      <c r="G17" s="112"/>
      <c r="H17" s="112"/>
      <c r="I17" s="112"/>
      <c r="J17" s="112"/>
      <c r="K17" s="115">
        <f>IF(D17=0,1,+F17/D17)</f>
        <v>0.01141924959</v>
      </c>
      <c r="L17" s="112"/>
      <c r="M17" s="112" t="s">
        <v>131</v>
      </c>
      <c r="N17" s="112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ht="12.75" customHeight="1">
      <c r="A18" s="113" t="s">
        <v>132</v>
      </c>
      <c r="B18" s="119">
        <v>0.0</v>
      </c>
      <c r="C18" s="112"/>
      <c r="D18" s="119">
        <v>0.0</v>
      </c>
      <c r="E18" s="112"/>
      <c r="F18" s="117">
        <f t="shared" si="1"/>
        <v>0</v>
      </c>
      <c r="G18" s="112"/>
      <c r="H18" s="112"/>
      <c r="I18" s="112"/>
      <c r="J18" s="112"/>
      <c r="K18" s="115" t="str">
        <f t="shared" ref="K18:K19" si="3">+F18/D18</f>
        <v>#DIV/0!</v>
      </c>
      <c r="L18" s="112"/>
      <c r="M18" s="112"/>
      <c r="N18" s="112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ht="12.75" customHeight="1">
      <c r="A19" s="113" t="s">
        <v>133</v>
      </c>
      <c r="B19" s="119">
        <v>0.0</v>
      </c>
      <c r="C19" s="112"/>
      <c r="D19" s="119">
        <v>0.0</v>
      </c>
      <c r="E19" s="112"/>
      <c r="F19" s="117">
        <f t="shared" si="1"/>
        <v>0</v>
      </c>
      <c r="G19" s="112"/>
      <c r="H19" s="112"/>
      <c r="I19" s="112"/>
      <c r="J19" s="112"/>
      <c r="K19" s="115" t="str">
        <f t="shared" si="3"/>
        <v>#DIV/0!</v>
      </c>
      <c r="L19" s="112"/>
      <c r="M19" s="112"/>
      <c r="N19" s="112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ht="12.75" customHeight="1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ht="12.75" customHeight="1">
      <c r="A21" s="113" t="s">
        <v>134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ht="12.75" customHeight="1">
      <c r="A22" s="113" t="s">
        <v>135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ht="12.75" customHeight="1">
      <c r="A23" s="113" t="s">
        <v>136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ht="12.75" customHeight="1">
      <c r="A24" s="113" t="s">
        <v>137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ht="12.75" customHeight="1">
      <c r="A25" s="113"/>
      <c r="B25" s="112"/>
      <c r="C25" s="113"/>
      <c r="D25" s="113"/>
      <c r="E25" s="113"/>
      <c r="F25" s="113"/>
      <c r="G25" s="113"/>
      <c r="H25" s="113"/>
      <c r="I25" s="113"/>
      <c r="J25" s="113"/>
      <c r="K25" s="113"/>
      <c r="L25" s="112"/>
      <c r="M25" s="112"/>
      <c r="N25" s="112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ht="12.75" customHeight="1">
      <c r="A26" s="121" t="s">
        <v>138</v>
      </c>
      <c r="B26" s="114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ht="12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</row>
    <row r="28" ht="12.75" customHeight="1">
      <c r="A28" s="113" t="s">
        <v>139</v>
      </c>
      <c r="B28" s="24">
        <f>$B$7</f>
        <v>8000</v>
      </c>
      <c r="C28" s="58" t="s">
        <v>140</v>
      </c>
      <c r="D28" s="24">
        <f>B$10</f>
        <v>2230</v>
      </c>
      <c r="E28" s="113" t="s">
        <v>141</v>
      </c>
      <c r="F28" s="119">
        <f t="shared" ref="F28:F29" si="4">B$12</f>
        <v>17.4</v>
      </c>
      <c r="G28" s="113" t="s">
        <v>141</v>
      </c>
      <c r="H28" s="112">
        <v>3.0</v>
      </c>
      <c r="I28" s="113" t="s">
        <v>142</v>
      </c>
      <c r="J28" s="122" t="s">
        <v>143</v>
      </c>
      <c r="K28" s="24">
        <f t="shared" ref="K28:K29" si="5">ROUNDUP((+B28+D28)*F28*H28,0)</f>
        <v>534006</v>
      </c>
      <c r="L28" s="112"/>
      <c r="M28" s="112"/>
      <c r="N28" s="112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</row>
    <row r="29" ht="12.75" customHeight="1">
      <c r="A29" s="113" t="s">
        <v>144</v>
      </c>
      <c r="B29" s="24">
        <f>$B$8</f>
        <v>1226</v>
      </c>
      <c r="C29" s="58" t="s">
        <v>140</v>
      </c>
      <c r="D29" s="24">
        <f>$B$9</f>
        <v>87</v>
      </c>
      <c r="E29" s="113" t="s">
        <v>141</v>
      </c>
      <c r="F29" s="119">
        <f t="shared" si="4"/>
        <v>17.4</v>
      </c>
      <c r="G29" s="113" t="s">
        <v>141</v>
      </c>
      <c r="H29" s="112">
        <v>3.0</v>
      </c>
      <c r="I29" s="113" t="s">
        <v>142</v>
      </c>
      <c r="J29" s="123"/>
      <c r="K29" s="71">
        <f t="shared" si="5"/>
        <v>68539</v>
      </c>
      <c r="L29" s="112"/>
      <c r="M29" s="112"/>
      <c r="N29" s="112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ht="12.75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22" t="s">
        <v>143</v>
      </c>
      <c r="K30" s="24">
        <f>K28+K29</f>
        <v>602545</v>
      </c>
      <c r="L30" s="112"/>
      <c r="M30" s="112"/>
      <c r="N30" s="112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</row>
    <row r="31" ht="12.75" customHeight="1">
      <c r="A31" s="112"/>
      <c r="B31" s="112"/>
      <c r="C31" s="112"/>
      <c r="D31" s="112"/>
      <c r="E31" s="112"/>
      <c r="F31" s="112"/>
      <c r="G31" s="112"/>
      <c r="H31" s="112"/>
      <c r="I31" s="112"/>
      <c r="J31" s="124" t="s">
        <v>141</v>
      </c>
      <c r="K31" s="125">
        <v>0.95</v>
      </c>
      <c r="L31" s="112"/>
      <c r="M31" s="112"/>
      <c r="N31" s="112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</row>
    <row r="32" ht="13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26" t="s">
        <v>143</v>
      </c>
      <c r="K32" s="127">
        <f>ROUNDUP(K30*K31,0)</f>
        <v>572418</v>
      </c>
      <c r="L32" s="112"/>
      <c r="M32" s="118">
        <f>K32</f>
        <v>572418</v>
      </c>
      <c r="N32" s="112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</row>
    <row r="33" ht="14.25" customHeight="1">
      <c r="A33" s="128"/>
      <c r="B33" s="128"/>
      <c r="C33" s="128"/>
      <c r="D33" s="128"/>
      <c r="E33" s="128"/>
      <c r="F33" s="128"/>
      <c r="G33" s="128"/>
      <c r="H33" s="128"/>
      <c r="I33" s="128"/>
      <c r="J33" s="129"/>
      <c r="K33" s="130"/>
      <c r="L33" s="128"/>
      <c r="M33" s="131"/>
      <c r="N33" s="112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</row>
    <row r="34" ht="12.75" customHeight="1">
      <c r="A34" s="121" t="s">
        <v>145</v>
      </c>
      <c r="B34" s="112"/>
      <c r="C34" s="112"/>
      <c r="D34" s="112"/>
      <c r="E34" s="112"/>
      <c r="F34" s="112"/>
      <c r="G34" s="112"/>
      <c r="H34" s="112"/>
      <c r="I34" s="112"/>
      <c r="J34" s="112"/>
      <c r="K34" s="24"/>
      <c r="L34" s="112"/>
      <c r="M34" s="118" t="s">
        <v>146</v>
      </c>
      <c r="N34" s="112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</row>
    <row r="35" ht="12.75" customHeight="1">
      <c r="A35" s="113" t="s">
        <v>139</v>
      </c>
      <c r="B35" s="24">
        <f>$B$7</f>
        <v>8000</v>
      </c>
      <c r="C35" s="58" t="s">
        <v>140</v>
      </c>
      <c r="D35" s="24">
        <f>B$10</f>
        <v>2230</v>
      </c>
      <c r="E35" s="113" t="s">
        <v>141</v>
      </c>
      <c r="F35" s="119">
        <f t="shared" ref="F35:F36" si="6">+$B$15</f>
        <v>7.25</v>
      </c>
      <c r="G35" s="113" t="s">
        <v>141</v>
      </c>
      <c r="H35" s="112">
        <v>3.0</v>
      </c>
      <c r="I35" s="113" t="s">
        <v>142</v>
      </c>
      <c r="J35" s="122" t="s">
        <v>143</v>
      </c>
      <c r="K35" s="24">
        <f t="shared" ref="K35:K36" si="7">ROUNDUP((+B35+D35)*F35*H35,0)</f>
        <v>222503</v>
      </c>
      <c r="L35" s="112"/>
      <c r="M35" s="118"/>
      <c r="N35" s="112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</row>
    <row r="36" ht="12.75" customHeight="1">
      <c r="A36" s="113" t="s">
        <v>144</v>
      </c>
      <c r="B36" s="24">
        <f>$B$8</f>
        <v>1226</v>
      </c>
      <c r="C36" s="58" t="s">
        <v>140</v>
      </c>
      <c r="D36" s="24">
        <f>$B$9</f>
        <v>87</v>
      </c>
      <c r="E36" s="113" t="s">
        <v>141</v>
      </c>
      <c r="F36" s="119">
        <f t="shared" si="6"/>
        <v>7.25</v>
      </c>
      <c r="G36" s="113" t="s">
        <v>141</v>
      </c>
      <c r="H36" s="112">
        <v>3.0</v>
      </c>
      <c r="I36" s="113" t="s">
        <v>142</v>
      </c>
      <c r="J36" s="123"/>
      <c r="K36" s="71">
        <f t="shared" si="7"/>
        <v>28558</v>
      </c>
      <c r="L36" s="112"/>
      <c r="M36" s="118"/>
      <c r="N36" s="112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</row>
    <row r="37" ht="12.7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22" t="s">
        <v>143</v>
      </c>
      <c r="K37" s="24">
        <f>K35+K36</f>
        <v>251061</v>
      </c>
      <c r="L37" s="112"/>
      <c r="M37" s="118"/>
      <c r="N37" s="112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</row>
    <row r="38" ht="12.7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24" t="s">
        <v>141</v>
      </c>
      <c r="K38" s="125">
        <v>0.95</v>
      </c>
      <c r="L38" s="112"/>
      <c r="M38" s="118"/>
      <c r="N38" s="112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ht="13.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26" t="s">
        <v>143</v>
      </c>
      <c r="K39" s="127">
        <f>ROUND(K37*K38-1,0)</f>
        <v>238507</v>
      </c>
      <c r="L39" s="112"/>
      <c r="M39" s="118"/>
      <c r="N39" s="112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</row>
    <row r="40" ht="13.5" customHeight="1">
      <c r="A40" s="121" t="s">
        <v>147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24"/>
      <c r="L40" s="112"/>
      <c r="M40" s="118"/>
      <c r="N40" s="112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ht="12.75" customHeight="1">
      <c r="A41" s="113" t="s">
        <v>139</v>
      </c>
      <c r="B41" s="24">
        <f>$B$7</f>
        <v>8000</v>
      </c>
      <c r="C41" s="58" t="s">
        <v>140</v>
      </c>
      <c r="D41" s="24">
        <f>B$10</f>
        <v>2230</v>
      </c>
      <c r="E41" s="113" t="s">
        <v>141</v>
      </c>
      <c r="F41" s="119">
        <f t="shared" ref="F41:F42" si="8">$B$16</f>
        <v>5.5</v>
      </c>
      <c r="G41" s="113" t="s">
        <v>141</v>
      </c>
      <c r="H41" s="112">
        <v>3.0</v>
      </c>
      <c r="I41" s="113" t="s">
        <v>142</v>
      </c>
      <c r="J41" s="122" t="s">
        <v>143</v>
      </c>
      <c r="K41" s="24">
        <f t="shared" ref="K41:K42" si="9">ROUNDUP((+B41+D41)*F41*H41,0)</f>
        <v>168795</v>
      </c>
      <c r="L41" s="112"/>
      <c r="M41" s="118"/>
      <c r="N41" s="112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</row>
    <row r="42" ht="12.75" customHeight="1">
      <c r="A42" s="113" t="s">
        <v>144</v>
      </c>
      <c r="B42" s="24">
        <f>$B$8</f>
        <v>1226</v>
      </c>
      <c r="C42" s="58" t="s">
        <v>140</v>
      </c>
      <c r="D42" s="24">
        <f>$B$9</f>
        <v>87</v>
      </c>
      <c r="E42" s="113" t="s">
        <v>141</v>
      </c>
      <c r="F42" s="119">
        <f t="shared" si="8"/>
        <v>5.5</v>
      </c>
      <c r="G42" s="113" t="s">
        <v>141</v>
      </c>
      <c r="H42" s="112">
        <v>3.0</v>
      </c>
      <c r="I42" s="113" t="s">
        <v>142</v>
      </c>
      <c r="J42" s="123"/>
      <c r="K42" s="71">
        <f t="shared" si="9"/>
        <v>21665</v>
      </c>
      <c r="L42" s="112"/>
      <c r="M42" s="118"/>
      <c r="N42" s="112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</row>
    <row r="43" ht="12.7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22" t="s">
        <v>143</v>
      </c>
      <c r="K43" s="24">
        <f>K41+K42</f>
        <v>190460</v>
      </c>
      <c r="L43" s="112"/>
      <c r="M43" s="118"/>
      <c r="N43" s="112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</row>
    <row r="44" ht="12.7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24" t="s">
        <v>141</v>
      </c>
      <c r="K44" s="125">
        <v>0.95</v>
      </c>
      <c r="L44" s="112"/>
      <c r="M44" s="118"/>
      <c r="N44" s="112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</row>
    <row r="45" ht="13.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26" t="s">
        <v>143</v>
      </c>
      <c r="K45" s="127">
        <f>ROUND(K43*K44,0)</f>
        <v>180937</v>
      </c>
      <c r="L45" s="112"/>
      <c r="M45" s="118">
        <f>-K45*0.05</f>
        <v>-9046.85</v>
      </c>
      <c r="N45" s="112"/>
      <c r="O45" s="132">
        <f>K45+M45</f>
        <v>171890.15</v>
      </c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</row>
    <row r="46" ht="13.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22"/>
      <c r="K46" s="133"/>
      <c r="L46" s="112"/>
      <c r="M46" s="118"/>
      <c r="N46" s="112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</row>
    <row r="47" ht="12.75" customHeight="1">
      <c r="A47" s="121" t="s">
        <v>148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24"/>
      <c r="L47" s="112"/>
      <c r="M47" s="118"/>
      <c r="N47" s="112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</row>
    <row r="48" ht="12.75" customHeight="1">
      <c r="A48" s="113" t="s">
        <v>139</v>
      </c>
      <c r="B48" s="24">
        <f>$B$7</f>
        <v>8000</v>
      </c>
      <c r="C48" s="58" t="s">
        <v>140</v>
      </c>
      <c r="D48" s="24">
        <f>B$10</f>
        <v>2230</v>
      </c>
      <c r="E48" s="113" t="s">
        <v>141</v>
      </c>
      <c r="F48" s="119">
        <f t="shared" ref="F48:F49" si="10">$B$17</f>
        <v>4.65</v>
      </c>
      <c r="G48" s="113" t="s">
        <v>141</v>
      </c>
      <c r="H48" s="112">
        <v>3.0</v>
      </c>
      <c r="I48" s="113" t="s">
        <v>142</v>
      </c>
      <c r="J48" s="122" t="s">
        <v>143</v>
      </c>
      <c r="K48" s="24">
        <f t="shared" ref="K48:K49" si="11">ROUNDUP((+B48+D48)*F48*H48,0)</f>
        <v>142709</v>
      </c>
      <c r="L48" s="112"/>
      <c r="M48" s="118"/>
      <c r="N48" s="112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</row>
    <row r="49" ht="12.75" customHeight="1">
      <c r="A49" s="113" t="s">
        <v>144</v>
      </c>
      <c r="B49" s="24">
        <f>$B$8</f>
        <v>1226</v>
      </c>
      <c r="C49" s="58" t="s">
        <v>140</v>
      </c>
      <c r="D49" s="24">
        <f>$B$9</f>
        <v>87</v>
      </c>
      <c r="E49" s="113" t="s">
        <v>141</v>
      </c>
      <c r="F49" s="119">
        <f t="shared" si="10"/>
        <v>4.65</v>
      </c>
      <c r="G49" s="113" t="s">
        <v>141</v>
      </c>
      <c r="H49" s="112">
        <v>3.0</v>
      </c>
      <c r="I49" s="113" t="s">
        <v>142</v>
      </c>
      <c r="J49" s="123"/>
      <c r="K49" s="71">
        <f t="shared" si="11"/>
        <v>18317</v>
      </c>
      <c r="L49" s="112"/>
      <c r="M49" s="118"/>
      <c r="N49" s="112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</row>
    <row r="50" ht="12.7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22" t="s">
        <v>143</v>
      </c>
      <c r="K50" s="24">
        <f>K48+K49</f>
        <v>161026</v>
      </c>
      <c r="L50" s="112"/>
      <c r="M50" s="118"/>
      <c r="N50" s="112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</row>
    <row r="51" ht="12.7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24" t="s">
        <v>141</v>
      </c>
      <c r="K51" s="125">
        <v>0.95</v>
      </c>
      <c r="L51" s="112"/>
      <c r="M51" s="118"/>
      <c r="N51" s="112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</row>
    <row r="52" ht="13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26" t="s">
        <v>143</v>
      </c>
      <c r="K52" s="127">
        <f>ROUND(K50*K51,0)</f>
        <v>152975</v>
      </c>
      <c r="L52" s="112"/>
      <c r="M52" s="118">
        <f>-K52*0.05</f>
        <v>-7648.75</v>
      </c>
      <c r="N52" s="112"/>
      <c r="O52" s="132">
        <f>K52+M52</f>
        <v>145326.25</v>
      </c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</row>
    <row r="53" ht="13.5" customHeight="1">
      <c r="A53" s="121" t="s">
        <v>149</v>
      </c>
      <c r="B53" s="112"/>
      <c r="C53" s="112"/>
      <c r="D53" s="112"/>
      <c r="E53" s="112"/>
      <c r="F53" s="112"/>
      <c r="G53" s="112"/>
      <c r="H53" s="112"/>
      <c r="I53" s="112"/>
      <c r="J53" s="112"/>
      <c r="K53" s="24"/>
      <c r="L53" s="112"/>
      <c r="M53" s="118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</row>
    <row r="54" ht="12.75" customHeight="1">
      <c r="A54" s="113" t="s">
        <v>139</v>
      </c>
      <c r="B54" s="24">
        <f>$B$7</f>
        <v>8000</v>
      </c>
      <c r="C54" s="58" t="s">
        <v>140</v>
      </c>
      <c r="D54" s="24">
        <f>B$10</f>
        <v>2230</v>
      </c>
      <c r="E54" s="113" t="s">
        <v>141</v>
      </c>
      <c r="F54" s="119">
        <f t="shared" ref="F54:F55" si="12">$B$18</f>
        <v>0</v>
      </c>
      <c r="G54" s="113" t="s">
        <v>141</v>
      </c>
      <c r="H54" s="112">
        <v>3.0</v>
      </c>
      <c r="I54" s="113" t="s">
        <v>142</v>
      </c>
      <c r="J54" s="122" t="s">
        <v>143</v>
      </c>
      <c r="K54" s="24">
        <f t="shared" ref="K54:K55" si="13">ROUNDUP((+B54+D54)*F54*H54,0)</f>
        <v>0</v>
      </c>
      <c r="L54" s="112"/>
      <c r="M54" s="118"/>
      <c r="N54" s="112"/>
      <c r="O54" s="112"/>
      <c r="P54" s="112"/>
      <c r="Q54" s="118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</row>
    <row r="55" ht="12.75" customHeight="1">
      <c r="A55" s="113" t="s">
        <v>144</v>
      </c>
      <c r="B55" s="24">
        <f>$B$8</f>
        <v>1226</v>
      </c>
      <c r="C55" s="58" t="s">
        <v>140</v>
      </c>
      <c r="D55" s="24">
        <f>$B$9</f>
        <v>87</v>
      </c>
      <c r="E55" s="113" t="s">
        <v>141</v>
      </c>
      <c r="F55" s="119">
        <f t="shared" si="12"/>
        <v>0</v>
      </c>
      <c r="G55" s="113" t="s">
        <v>141</v>
      </c>
      <c r="H55" s="112">
        <v>3.0</v>
      </c>
      <c r="I55" s="113" t="s">
        <v>142</v>
      </c>
      <c r="J55" s="123"/>
      <c r="K55" s="71">
        <f t="shared" si="13"/>
        <v>0</v>
      </c>
      <c r="L55" s="112"/>
      <c r="M55" s="118"/>
      <c r="N55" s="112"/>
      <c r="O55" s="112"/>
      <c r="P55" s="112"/>
      <c r="Q55" s="118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</row>
    <row r="56" ht="12.7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22" t="s">
        <v>143</v>
      </c>
      <c r="K56" s="24">
        <f>K54+K55</f>
        <v>0</v>
      </c>
      <c r="L56" s="112"/>
      <c r="M56" s="118"/>
      <c r="N56" s="112"/>
      <c r="O56" s="112"/>
      <c r="P56" s="112"/>
      <c r="Q56" s="118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</row>
    <row r="57" ht="12.7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24" t="s">
        <v>141</v>
      </c>
      <c r="K57" s="125">
        <v>0.95</v>
      </c>
      <c r="L57" s="112"/>
      <c r="M57" s="118"/>
      <c r="N57" s="112"/>
      <c r="O57" s="112"/>
      <c r="P57" s="112"/>
      <c r="Q57" s="118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</row>
    <row r="58" ht="13.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26" t="s">
        <v>143</v>
      </c>
      <c r="K58" s="127">
        <f>ROUND(K56*K57,0)</f>
        <v>0</v>
      </c>
      <c r="L58" s="112"/>
      <c r="M58" s="134">
        <f>SUM(K39,K52,K58)</f>
        <v>391482</v>
      </c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</row>
    <row r="59" ht="13.5" customHeight="1">
      <c r="A59" s="121" t="s">
        <v>150</v>
      </c>
      <c r="B59" s="112"/>
      <c r="C59" s="112"/>
      <c r="D59" s="112"/>
      <c r="E59" s="112"/>
      <c r="F59" s="112"/>
      <c r="G59" s="112"/>
      <c r="H59" s="112"/>
      <c r="I59" s="112"/>
      <c r="J59" s="112"/>
      <c r="K59" s="24"/>
      <c r="L59" s="112"/>
      <c r="M59" s="118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</row>
    <row r="60" ht="12.75" customHeight="1">
      <c r="A60" s="113" t="s">
        <v>139</v>
      </c>
      <c r="B60" s="24">
        <f>$B$7</f>
        <v>8000</v>
      </c>
      <c r="C60" s="58" t="s">
        <v>140</v>
      </c>
      <c r="D60" s="24">
        <f>B$10</f>
        <v>2230</v>
      </c>
      <c r="E60" s="113" t="s">
        <v>141</v>
      </c>
      <c r="F60" s="119">
        <f t="shared" ref="F60:F61" si="14">$B$19-(3*$B$18)</f>
        <v>0</v>
      </c>
      <c r="G60" s="113" t="s">
        <v>141</v>
      </c>
      <c r="H60" s="112">
        <v>1.0</v>
      </c>
      <c r="I60" s="113" t="s">
        <v>142</v>
      </c>
      <c r="J60" s="122" t="s">
        <v>143</v>
      </c>
      <c r="K60" s="24">
        <f t="shared" ref="K60:K61" si="15">ROUNDDOWN((+B60+D60)*F60*H60,0)</f>
        <v>0</v>
      </c>
      <c r="L60" s="112"/>
      <c r="M60" s="118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</row>
    <row r="61" ht="12.75" customHeight="1">
      <c r="A61" s="113" t="s">
        <v>144</v>
      </c>
      <c r="B61" s="24">
        <f>$B$8</f>
        <v>1226</v>
      </c>
      <c r="C61" s="58" t="s">
        <v>140</v>
      </c>
      <c r="D61" s="24">
        <f>$B$9</f>
        <v>87</v>
      </c>
      <c r="E61" s="113" t="s">
        <v>141</v>
      </c>
      <c r="F61" s="119">
        <f t="shared" si="14"/>
        <v>0</v>
      </c>
      <c r="G61" s="113" t="s">
        <v>141</v>
      </c>
      <c r="H61" s="112">
        <v>1.0</v>
      </c>
      <c r="I61" s="113" t="s">
        <v>142</v>
      </c>
      <c r="J61" s="123"/>
      <c r="K61" s="71">
        <f t="shared" si="15"/>
        <v>0</v>
      </c>
      <c r="L61" s="112"/>
      <c r="M61" s="118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</row>
    <row r="62" ht="12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22" t="s">
        <v>143</v>
      </c>
      <c r="K62" s="24">
        <f>K60+K61</f>
        <v>0</v>
      </c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</row>
    <row r="63" ht="12.7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24" t="s">
        <v>141</v>
      </c>
      <c r="K63" s="125">
        <v>0.95</v>
      </c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</row>
    <row r="64" ht="13.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26" t="s">
        <v>143</v>
      </c>
      <c r="K64" s="127">
        <f>ROUND(K62*K63,0)</f>
        <v>0</v>
      </c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</row>
    <row r="65" ht="13.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</row>
    <row r="66" ht="13.5" customHeight="1">
      <c r="A66" s="113" t="s">
        <v>151</v>
      </c>
      <c r="B66" s="112"/>
      <c r="C66" s="112"/>
      <c r="D66" s="118">
        <v>460000.0</v>
      </c>
      <c r="E66" s="113" t="s">
        <v>141</v>
      </c>
      <c r="F66" s="115">
        <v>5.0E-4</v>
      </c>
      <c r="G66" s="112"/>
      <c r="H66" s="135"/>
      <c r="I66" s="113" t="s">
        <v>142</v>
      </c>
      <c r="J66" s="126" t="s">
        <v>143</v>
      </c>
      <c r="K66" s="127">
        <f>ROUND(D66*F66,0)</f>
        <v>230</v>
      </c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  <row r="67" ht="14.25" customHeight="1">
      <c r="A67" s="113"/>
      <c r="B67" s="112"/>
      <c r="C67" s="112"/>
      <c r="D67" s="118"/>
      <c r="E67" s="113"/>
      <c r="F67" s="135"/>
      <c r="G67" s="112"/>
      <c r="H67" s="135"/>
      <c r="I67" s="113"/>
      <c r="J67" s="122"/>
      <c r="K67" s="24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</row>
    <row r="68" ht="13.5" customHeight="1">
      <c r="A68" s="136"/>
      <c r="B68" s="137"/>
      <c r="C68" s="137"/>
      <c r="D68" s="138"/>
      <c r="E68" s="139"/>
      <c r="F68" s="140"/>
      <c r="G68" s="141"/>
      <c r="H68" s="140"/>
      <c r="I68" s="139"/>
      <c r="J68" s="142"/>
      <c r="K68" s="143"/>
      <c r="L68" s="141"/>
      <c r="M68" s="141"/>
      <c r="N68" s="141"/>
      <c r="O68" s="141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</row>
    <row r="69" ht="12.75" customHeight="1">
      <c r="A69" s="113"/>
      <c r="B69" s="112"/>
      <c r="C69" s="112"/>
      <c r="D69" s="118"/>
      <c r="E69" s="113"/>
      <c r="F69" s="135"/>
      <c r="G69" s="112"/>
      <c r="H69" s="135"/>
      <c r="I69" s="113"/>
      <c r="J69" s="122"/>
      <c r="K69" s="24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</row>
    <row r="70" ht="12.75" customHeight="1">
      <c r="A70" s="113"/>
      <c r="B70" s="112"/>
      <c r="C70" s="112"/>
      <c r="D70" s="118"/>
      <c r="E70" s="113"/>
      <c r="F70" s="135"/>
      <c r="G70" s="112"/>
      <c r="H70" s="135"/>
      <c r="I70" s="113"/>
      <c r="J70" s="122"/>
      <c r="K70" s="24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</row>
    <row r="71" ht="12.75" customHeight="1">
      <c r="A71" s="113"/>
      <c r="B71" s="112"/>
      <c r="C71" s="112"/>
      <c r="D71" s="118"/>
      <c r="E71" s="113"/>
      <c r="F71" s="135"/>
      <c r="G71" s="112"/>
      <c r="H71" s="135"/>
      <c r="I71" s="113"/>
      <c r="J71" s="122"/>
      <c r="K71" s="24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</row>
    <row r="72" ht="12.75" customHeight="1">
      <c r="A72" s="113"/>
      <c r="B72" s="112"/>
      <c r="C72" s="112"/>
      <c r="D72" s="118"/>
      <c r="E72" s="113"/>
      <c r="F72" s="135"/>
      <c r="G72" s="112"/>
      <c r="H72" s="135"/>
      <c r="I72" s="113"/>
      <c r="J72" s="122"/>
      <c r="K72" s="24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</row>
    <row r="73" ht="12.75" customHeight="1">
      <c r="A73" s="113"/>
      <c r="B73" s="112"/>
      <c r="C73" s="112"/>
      <c r="D73" s="118"/>
      <c r="E73" s="113"/>
      <c r="F73" s="135"/>
      <c r="G73" s="112"/>
      <c r="H73" s="135"/>
      <c r="I73" s="113"/>
      <c r="J73" s="122"/>
      <c r="K73" s="24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</row>
    <row r="74" ht="12.75" customHeight="1">
      <c r="A74" s="113"/>
      <c r="B74" s="112"/>
      <c r="C74" s="112"/>
      <c r="D74" s="118"/>
      <c r="E74" s="113"/>
      <c r="F74" s="135"/>
      <c r="G74" s="112"/>
      <c r="H74" s="135"/>
      <c r="I74" s="113"/>
      <c r="J74" s="122"/>
      <c r="K74" s="24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ht="12.75" customHeight="1">
      <c r="A75" s="113"/>
      <c r="B75" s="112"/>
      <c r="C75" s="112"/>
      <c r="D75" s="118"/>
      <c r="E75" s="113"/>
      <c r="F75" s="135"/>
      <c r="G75" s="112"/>
      <c r="H75" s="135"/>
      <c r="I75" s="113"/>
      <c r="J75" s="122"/>
      <c r="K75" s="24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ht="12.75" customHeight="1">
      <c r="A76" s="113"/>
      <c r="B76" s="112"/>
      <c r="C76" s="112"/>
      <c r="D76" s="118"/>
      <c r="E76" s="113"/>
      <c r="F76" s="135"/>
      <c r="G76" s="112"/>
      <c r="H76" s="135"/>
      <c r="I76" s="113"/>
      <c r="J76" s="122"/>
      <c r="K76" s="24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</row>
    <row r="77" ht="12.75" customHeight="1">
      <c r="A77" s="113"/>
      <c r="B77" s="112"/>
      <c r="C77" s="112"/>
      <c r="D77" s="118"/>
      <c r="E77" s="113"/>
      <c r="F77" s="135"/>
      <c r="G77" s="112"/>
      <c r="H77" s="135"/>
      <c r="I77" s="113"/>
      <c r="J77" s="122"/>
      <c r="K77" s="24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</row>
    <row r="78" ht="12.75" customHeight="1">
      <c r="A78" s="112"/>
      <c r="B78" s="112"/>
      <c r="C78" s="112"/>
      <c r="D78" s="112"/>
      <c r="E78" s="112"/>
      <c r="F78" s="112"/>
      <c r="G78" s="112"/>
      <c r="H78" s="112"/>
      <c r="I78" s="112"/>
      <c r="J78" s="111"/>
      <c r="K78" s="111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ht="12.75" customHeight="1">
      <c r="A79" s="113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ht="12.75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</row>
    <row r="81" ht="12.75" customHeight="1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ht="12.75" customHeight="1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</row>
    <row r="83" ht="12.75" customHeight="1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</row>
    <row r="84" ht="12.75" customHeight="1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</row>
    <row r="85" ht="12.75" customHeight="1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</row>
    <row r="86" ht="12.75" customHeight="1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</row>
    <row r="87" ht="12.75" customHeight="1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</row>
    <row r="88" ht="12.75" customHeight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</row>
    <row r="89" ht="12.75" customHeigh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</row>
    <row r="90" ht="12.75" customHeight="1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</row>
    <row r="91" ht="12.75" customHeight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</row>
    <row r="92" ht="12.75" customHeight="1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</row>
    <row r="93" ht="12.75" customHeight="1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</row>
    <row r="94" ht="12.7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</row>
    <row r="95" ht="12.7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</row>
    <row r="96" ht="12.7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</row>
    <row r="97" ht="12.7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</row>
    <row r="98" ht="12.7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</row>
    <row r="99" ht="12.75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</row>
    <row r="100" ht="12.75" customHeight="1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</row>
    <row r="101" ht="12.75" customHeight="1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</row>
    <row r="102" ht="12.75" customHeight="1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</row>
    <row r="103" ht="12.75" customHeight="1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</row>
    <row r="104" ht="12.75" customHeight="1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</row>
    <row r="105" ht="12.75" customHeight="1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</row>
    <row r="106" ht="12.75" customHeight="1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</row>
    <row r="107" ht="12.75" customHeight="1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</row>
    <row r="108" ht="12.75" customHeight="1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</row>
    <row r="109" ht="12.75" customHeight="1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</row>
    <row r="110" ht="12.75" customHeight="1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</row>
    <row r="111" ht="12.75" customHeight="1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</row>
    <row r="112" ht="12.75" customHeight="1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</row>
    <row r="113" ht="12.75" customHeight="1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</row>
    <row r="114" ht="12.7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</row>
    <row r="115" ht="12.75" customHeight="1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</row>
    <row r="116" ht="12.75" customHeight="1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</row>
    <row r="117" ht="12.75" customHeight="1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</row>
    <row r="118" ht="12.75" customHeight="1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</row>
    <row r="119" ht="12.75" customHeight="1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</row>
    <row r="120" ht="12.75" customHeight="1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</row>
    <row r="121" ht="12.75" customHeight="1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</row>
    <row r="122" ht="12.75" customHeight="1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</row>
    <row r="123" ht="12.75" customHeight="1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</row>
    <row r="124" ht="12.75" customHeight="1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</row>
    <row r="125" ht="12.75" customHeight="1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</row>
    <row r="126" ht="12.75" customHeight="1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</row>
    <row r="127" ht="12.75" customHeight="1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</row>
    <row r="128" ht="12.75" customHeight="1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</row>
    <row r="129" ht="12.75" customHeight="1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</row>
    <row r="130" ht="12.75" customHeight="1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</row>
    <row r="131" ht="12.75" customHeight="1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</row>
    <row r="132" ht="12.75" customHeight="1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</row>
    <row r="133" ht="12.75" customHeight="1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</row>
    <row r="134" ht="12.75" customHeight="1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</row>
    <row r="135" ht="12.75" customHeight="1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</row>
    <row r="136" ht="12.75" customHeight="1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</row>
    <row r="137" ht="12.75" customHeight="1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</row>
    <row r="138" ht="12.7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</row>
    <row r="139" ht="12.75" customHeight="1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</row>
    <row r="140" ht="12.75" customHeight="1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</row>
    <row r="141" ht="12.75" customHeight="1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</row>
    <row r="142" ht="12.75" customHeight="1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</row>
    <row r="143" ht="12.75" customHeight="1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</row>
    <row r="144" ht="12.75" customHeight="1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</row>
    <row r="145" ht="12.75" customHeight="1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</row>
    <row r="146" ht="12.75" customHeight="1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</row>
    <row r="147" ht="12.7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</row>
    <row r="148" ht="12.75" customHeight="1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</row>
    <row r="149" ht="12.75" customHeight="1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</row>
    <row r="150" ht="12.75" customHeight="1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</row>
    <row r="151" ht="12.7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</row>
    <row r="152" ht="12.7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</row>
    <row r="153" ht="12.7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</row>
    <row r="154" ht="12.75" customHeight="1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</row>
    <row r="155" ht="12.75" customHeight="1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</row>
    <row r="156" ht="12.7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</row>
    <row r="157" ht="12.7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</row>
    <row r="158" ht="12.7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</row>
    <row r="159" ht="12.75" customHeight="1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</row>
    <row r="160" ht="12.75" customHeight="1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</row>
    <row r="161" ht="12.7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</row>
    <row r="162" ht="12.7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</row>
    <row r="163" ht="12.7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</row>
    <row r="164" ht="12.75" customHeight="1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</row>
    <row r="165" ht="12.75" customHeight="1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</row>
    <row r="166" ht="12.75" customHeight="1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</row>
    <row r="167" ht="12.75" customHeight="1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</row>
    <row r="168" ht="12.75" customHeight="1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</row>
    <row r="169" ht="12.75" customHeight="1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</row>
    <row r="170" ht="12.75" customHeight="1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</row>
    <row r="171" ht="12.75" customHeight="1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</row>
    <row r="172" ht="12.75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</row>
    <row r="173" ht="12.75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</row>
    <row r="174" ht="12.75" customHeight="1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</row>
    <row r="175" ht="12.75" customHeight="1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</row>
    <row r="176" ht="12.75" customHeight="1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</row>
    <row r="177" ht="12.75" customHeight="1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</row>
    <row r="178" ht="12.75" customHeight="1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</row>
    <row r="179" ht="12.75" customHeight="1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</row>
    <row r="180" ht="12.75" customHeight="1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</row>
    <row r="181" ht="12.75" customHeight="1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</row>
    <row r="182" ht="12.75" customHeight="1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</row>
    <row r="183" ht="12.75" customHeight="1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</row>
    <row r="184" ht="12.75" customHeight="1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</row>
    <row r="185" ht="12.75" customHeight="1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</row>
    <row r="186" ht="12.75" customHeight="1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</row>
    <row r="187" ht="12.75" customHeight="1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</row>
    <row r="188" ht="12.75" customHeight="1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</row>
    <row r="189" ht="12.75" customHeight="1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</row>
    <row r="190" ht="12.75" customHeight="1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</row>
    <row r="191" ht="12.75" customHeight="1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</row>
    <row r="192" ht="12.75" customHeight="1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</row>
    <row r="193" ht="12.75" customHeight="1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</row>
    <row r="194" ht="12.75" customHeight="1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</row>
    <row r="195" ht="12.75" customHeight="1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  <c r="AA195" s="112"/>
      <c r="AB195" s="112"/>
    </row>
    <row r="196" ht="12.75" customHeight="1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2"/>
      <c r="AB196" s="112"/>
    </row>
    <row r="197" ht="12.75" customHeight="1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  <c r="AA197" s="112"/>
      <c r="AB197" s="112"/>
    </row>
    <row r="198" ht="12.75" customHeight="1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  <c r="AA198" s="112"/>
      <c r="AB198" s="112"/>
    </row>
    <row r="199" ht="12.75" customHeight="1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</row>
    <row r="200" ht="12.75" customHeight="1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112"/>
    </row>
    <row r="201" ht="12.75" customHeight="1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  <c r="AA201" s="112"/>
      <c r="AB201" s="112"/>
    </row>
    <row r="202" ht="12.75" customHeight="1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  <c r="AA202" s="112"/>
      <c r="AB202" s="112"/>
    </row>
    <row r="203" ht="12.75" customHeight="1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  <c r="AA203" s="112"/>
      <c r="AB203" s="112"/>
    </row>
    <row r="204" ht="12.75" customHeight="1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  <c r="AA204" s="112"/>
      <c r="AB204" s="112"/>
    </row>
    <row r="205" ht="12.75" customHeight="1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</row>
    <row r="206" ht="12.75" customHeight="1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  <c r="AA206" s="112"/>
      <c r="AB206" s="112"/>
    </row>
    <row r="207" ht="12.75" customHeight="1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</row>
    <row r="208" ht="12.75" customHeight="1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</row>
    <row r="209" ht="12.75" customHeight="1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  <c r="AA209" s="112"/>
      <c r="AB209" s="112"/>
    </row>
    <row r="210" ht="12.75" customHeight="1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  <c r="AA210" s="112"/>
      <c r="AB210" s="112"/>
    </row>
    <row r="211" ht="12.75" customHeight="1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</row>
    <row r="212" ht="12.75" customHeight="1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</row>
    <row r="213" ht="12.75" customHeight="1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  <c r="AA213" s="112"/>
      <c r="AB213" s="112"/>
    </row>
    <row r="214" ht="12.75" customHeight="1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  <c r="AA214" s="112"/>
      <c r="AB214" s="112"/>
    </row>
    <row r="215" ht="12.75" customHeight="1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</row>
    <row r="216" ht="12.75" customHeight="1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</row>
    <row r="217" ht="12.75" customHeight="1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  <c r="AA217" s="112"/>
      <c r="AB217" s="112"/>
    </row>
    <row r="218" ht="12.75" customHeight="1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  <c r="AA218" s="112"/>
      <c r="AB218" s="112"/>
    </row>
    <row r="219" ht="12.75" customHeight="1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  <c r="AA219" s="112"/>
      <c r="AB219" s="112"/>
    </row>
    <row r="220" ht="12.75" customHeight="1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  <c r="AA220" s="112"/>
      <c r="AB220" s="112"/>
    </row>
    <row r="221" ht="12.75" customHeight="1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  <c r="AA221" s="112"/>
      <c r="AB221" s="112"/>
    </row>
    <row r="222" ht="12.75" customHeight="1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  <c r="AA222" s="112"/>
      <c r="AB222" s="112"/>
    </row>
    <row r="223" ht="12.75" customHeight="1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  <c r="AA223" s="112"/>
      <c r="AB223" s="112"/>
    </row>
    <row r="224" ht="12.75" customHeight="1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  <c r="AA224" s="112"/>
      <c r="AB224" s="112"/>
    </row>
    <row r="225" ht="12.75" customHeight="1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  <c r="AA225" s="112"/>
      <c r="AB225" s="112"/>
    </row>
    <row r="226" ht="12.75" customHeight="1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  <c r="AA226" s="112"/>
      <c r="AB226" s="112"/>
    </row>
    <row r="227" ht="12.75" customHeight="1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  <c r="AA227" s="112"/>
      <c r="AB227" s="112"/>
    </row>
    <row r="228" ht="12.75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  <c r="AA228" s="112"/>
      <c r="AB228" s="112"/>
    </row>
    <row r="229" ht="12.75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  <c r="AA229" s="112"/>
      <c r="AB229" s="112"/>
    </row>
    <row r="230" ht="12.75" customHeight="1">
      <c r="A230" s="112"/>
      <c r="B230" s="112"/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  <c r="AA230" s="112"/>
      <c r="AB230" s="112"/>
    </row>
    <row r="231" ht="12.75" customHeight="1">
      <c r="A231" s="112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  <c r="AA231" s="112"/>
      <c r="AB231" s="112"/>
    </row>
    <row r="232" ht="12.75" customHeight="1">
      <c r="A232" s="112"/>
      <c r="B232" s="112"/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  <c r="AA232" s="112"/>
      <c r="AB232" s="112"/>
    </row>
    <row r="233" ht="12.75" customHeight="1">
      <c r="A233" s="112"/>
      <c r="B233" s="112"/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  <c r="AA233" s="112"/>
      <c r="AB233" s="112"/>
    </row>
    <row r="234" ht="12.75" customHeight="1">
      <c r="A234" s="112"/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  <c r="AA234" s="112"/>
      <c r="AB234" s="112"/>
    </row>
    <row r="235" ht="12.75" customHeight="1">
      <c r="A235" s="112"/>
      <c r="B235" s="112"/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  <c r="AA235" s="112"/>
      <c r="AB235" s="112"/>
    </row>
    <row r="236" ht="12.75" customHeight="1">
      <c r="A236" s="112"/>
      <c r="B236" s="112"/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  <c r="AA236" s="112"/>
      <c r="AB236" s="112"/>
    </row>
    <row r="237" ht="12.75" customHeight="1">
      <c r="A237" s="112"/>
      <c r="B237" s="112"/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  <c r="AA237" s="112"/>
      <c r="AB237" s="112"/>
    </row>
    <row r="238" ht="12.75" customHeight="1">
      <c r="A238" s="112"/>
      <c r="B238" s="112"/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  <c r="AA238" s="112"/>
      <c r="AB238" s="112"/>
    </row>
    <row r="239" ht="12.75" customHeight="1">
      <c r="A239" s="112"/>
      <c r="B239" s="112"/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  <c r="AA239" s="112"/>
      <c r="AB239" s="112"/>
    </row>
    <row r="240" ht="12.75" customHeight="1">
      <c r="A240" s="112"/>
      <c r="B240" s="112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  <c r="AA240" s="112"/>
      <c r="AB240" s="112"/>
    </row>
    <row r="241" ht="12.75" customHeight="1">
      <c r="A241" s="112"/>
      <c r="B241" s="112"/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  <c r="AA241" s="112"/>
      <c r="AB241" s="112"/>
    </row>
    <row r="242" ht="12.75" customHeight="1">
      <c r="A242" s="112"/>
      <c r="B242" s="112"/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  <c r="AA242" s="112"/>
      <c r="AB242" s="112"/>
    </row>
    <row r="243" ht="12.75" customHeight="1">
      <c r="A243" s="112"/>
      <c r="B243" s="112"/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</row>
    <row r="244" ht="12.75" customHeight="1">
      <c r="A244" s="112"/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</row>
    <row r="245" ht="12.75" customHeight="1">
      <c r="A245" s="112"/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</row>
    <row r="246" ht="12.75" customHeight="1">
      <c r="A246" s="112"/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</row>
    <row r="247" ht="12.75" customHeight="1">
      <c r="A247" s="112"/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</row>
    <row r="248" ht="12.75" customHeight="1">
      <c r="A248" s="112"/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</row>
    <row r="249" ht="12.75" customHeight="1">
      <c r="A249" s="112"/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</row>
    <row r="250" ht="12.75" customHeight="1">
      <c r="A250" s="112"/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</row>
    <row r="251" ht="12.75" customHeight="1">
      <c r="A251" s="112"/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</row>
    <row r="252" ht="12.75" customHeight="1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</row>
    <row r="253" ht="12.75" customHeight="1">
      <c r="A253" s="112"/>
      <c r="B253" s="112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  <c r="AA253" s="112"/>
      <c r="AB253" s="112"/>
    </row>
    <row r="254" ht="12.75" customHeight="1">
      <c r="A254" s="112"/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</row>
    <row r="255" ht="12.75" customHeight="1">
      <c r="A255" s="112"/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</row>
    <row r="256" ht="12.75" customHeight="1">
      <c r="A256" s="112"/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</row>
    <row r="257" ht="12.75" customHeight="1">
      <c r="A257" s="112"/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</row>
    <row r="258" ht="12.75" customHeight="1">
      <c r="A258" s="112"/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</row>
    <row r="259" ht="12.75" customHeight="1">
      <c r="A259" s="112"/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</row>
    <row r="260" ht="12.75" customHeight="1">
      <c r="A260" s="112"/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</row>
    <row r="261" ht="12.75" customHeight="1">
      <c r="A261" s="112"/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</row>
    <row r="262" ht="12.75" customHeight="1">
      <c r="A262" s="112"/>
      <c r="B262" s="112"/>
      <c r="C262" s="112"/>
      <c r="D262" s="11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</row>
    <row r="263" ht="12.75" customHeight="1">
      <c r="A263" s="112"/>
      <c r="B263" s="112"/>
      <c r="C263" s="112"/>
      <c r="D263" s="112"/>
      <c r="E263" s="112"/>
      <c r="F263" s="112"/>
      <c r="G263" s="112"/>
      <c r="H263" s="112"/>
      <c r="I263" s="112"/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</row>
    <row r="264" ht="12.75" customHeight="1">
      <c r="A264" s="112"/>
      <c r="B264" s="112"/>
      <c r="C264" s="112"/>
      <c r="D264" s="112"/>
      <c r="E264" s="112"/>
      <c r="F264" s="112"/>
      <c r="G264" s="112"/>
      <c r="H264" s="112"/>
      <c r="I264" s="112"/>
      <c r="J264" s="112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  <c r="AA264" s="112"/>
      <c r="AB264" s="112"/>
    </row>
    <row r="265" ht="12.75" customHeight="1">
      <c r="A265" s="112"/>
      <c r="B265" s="112"/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</row>
    <row r="266" ht="12.75" customHeight="1">
      <c r="A266" s="112"/>
      <c r="B266" s="112"/>
      <c r="C266" s="112"/>
      <c r="D266" s="112"/>
      <c r="E266" s="112"/>
      <c r="F266" s="112"/>
      <c r="G266" s="112"/>
      <c r="H266" s="112"/>
      <c r="I266" s="112"/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</row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K1"/>
    <mergeCell ref="A2:K2"/>
    <mergeCell ref="A3:K3"/>
  </mergeCells>
  <printOptions/>
  <pageMargins bottom="0.75" footer="0.0" header="0.0" left="0.7" right="0.7" top="0.75"/>
  <pageSetup orientation="landscape"/>
  <headerFooter>
    <oddFooter>&amp;LASUCLA Student Support Services&amp;RPrinted on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4.29"/>
    <col customWidth="1" min="2" max="2" width="5.71"/>
    <col customWidth="1" min="3" max="3" width="10.43"/>
    <col customWidth="1" min="4" max="4" width="8.86"/>
    <col customWidth="1" min="5" max="7" width="10.71"/>
    <col customWidth="1" min="8" max="8" width="3.71"/>
    <col customWidth="1" min="9" max="9" width="10.71"/>
    <col customWidth="1" min="10" max="10" width="2.57"/>
    <col customWidth="1" min="11" max="11" width="12.43"/>
    <col customWidth="1" min="12" max="12" width="20.71"/>
    <col customWidth="1" min="13" max="13" width="7.86"/>
    <col customWidth="1" min="14" max="26" width="8.0"/>
  </cols>
  <sheetData>
    <row r="1" ht="12.75" customHeight="1">
      <c r="A1" s="1" t="s">
        <v>0</v>
      </c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 t="s">
        <v>1</v>
      </c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44" t="s">
        <v>152</v>
      </c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2"/>
      <c r="B5" s="2"/>
      <c r="C5" s="2"/>
      <c r="D5" s="2"/>
      <c r="E5" s="105"/>
      <c r="F5" s="2"/>
      <c r="G5" s="2"/>
      <c r="I5" s="49"/>
      <c r="J5" s="1"/>
      <c r="K5" s="49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8"/>
      <c r="B6" s="8"/>
      <c r="C6" s="145"/>
      <c r="D6" s="146" t="s">
        <v>153</v>
      </c>
      <c r="E6" s="11"/>
      <c r="F6" s="147" t="s">
        <v>3</v>
      </c>
      <c r="G6" s="148" t="s">
        <v>154</v>
      </c>
      <c r="I6" s="11" t="s">
        <v>3</v>
      </c>
      <c r="J6" s="1"/>
      <c r="K6" s="11" t="s">
        <v>154</v>
      </c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2"/>
      <c r="B7" s="149" t="s">
        <v>155</v>
      </c>
      <c r="C7" s="150"/>
      <c r="D7" s="149" t="s">
        <v>156</v>
      </c>
      <c r="E7" s="13"/>
      <c r="F7" s="13" t="s">
        <v>7</v>
      </c>
      <c r="G7" s="13" t="s">
        <v>6</v>
      </c>
      <c r="I7" s="13" t="s">
        <v>8</v>
      </c>
      <c r="J7" s="1"/>
      <c r="K7" s="13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5" t="s">
        <v>157</v>
      </c>
      <c r="B8" s="151"/>
      <c r="C8" s="152"/>
      <c r="D8" s="151" t="s">
        <v>158</v>
      </c>
      <c r="E8" s="17"/>
      <c r="F8" s="153" t="s">
        <v>11</v>
      </c>
      <c r="G8" s="154" t="s">
        <v>12</v>
      </c>
      <c r="I8" s="17" t="s">
        <v>11</v>
      </c>
      <c r="J8" s="1"/>
      <c r="K8" s="17" t="s">
        <v>12</v>
      </c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2" t="s">
        <v>159</v>
      </c>
      <c r="B9" s="149" t="s">
        <v>160</v>
      </c>
      <c r="C9" s="150"/>
      <c r="D9" s="149"/>
      <c r="E9" s="13"/>
      <c r="F9" s="13"/>
      <c r="G9" s="13"/>
      <c r="I9" s="13"/>
      <c r="J9" s="1"/>
      <c r="K9" s="13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55" t="s">
        <v>161</v>
      </c>
      <c r="B10" s="149">
        <v>12.0</v>
      </c>
      <c r="C10" s="150"/>
      <c r="D10" s="156">
        <v>1216.0</v>
      </c>
      <c r="E10" s="75"/>
      <c r="F10" s="75">
        <v>14592.0</v>
      </c>
      <c r="G10" s="75">
        <v>0.0</v>
      </c>
      <c r="I10" s="75">
        <f t="shared" ref="I10:I13" si="1">B10*D10</f>
        <v>14592</v>
      </c>
      <c r="J10" s="24"/>
      <c r="K10" s="75"/>
      <c r="L10" s="24" t="b">
        <f>I10=1040</f>
        <v>0</v>
      </c>
      <c r="M10" s="2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55" t="s">
        <v>162</v>
      </c>
      <c r="B11" s="149">
        <v>12.0</v>
      </c>
      <c r="C11" s="150"/>
      <c r="D11" s="156">
        <v>1012.0</v>
      </c>
      <c r="E11" s="75"/>
      <c r="F11" s="75">
        <v>12144.0</v>
      </c>
      <c r="G11" s="75">
        <v>0.0</v>
      </c>
      <c r="I11" s="75">
        <f t="shared" si="1"/>
        <v>12144</v>
      </c>
      <c r="J11" s="24"/>
      <c r="K11" s="75">
        <v>11.0</v>
      </c>
      <c r="L11" s="2"/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55" t="s">
        <v>163</v>
      </c>
      <c r="B12" s="149">
        <v>12.0</v>
      </c>
      <c r="C12" s="150"/>
      <c r="D12" s="156">
        <v>1012.0</v>
      </c>
      <c r="E12" s="75"/>
      <c r="F12" s="75">
        <v>12144.0</v>
      </c>
      <c r="G12" s="75">
        <v>0.0</v>
      </c>
      <c r="I12" s="75">
        <f t="shared" si="1"/>
        <v>12144</v>
      </c>
      <c r="J12" s="24"/>
      <c r="K12" s="75"/>
      <c r="L12" s="24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55" t="s">
        <v>164</v>
      </c>
      <c r="B13" s="149">
        <v>12.0</v>
      </c>
      <c r="C13" s="150"/>
      <c r="D13" s="156">
        <v>1012.0</v>
      </c>
      <c r="E13" s="75"/>
      <c r="F13" s="75">
        <v>12144.0</v>
      </c>
      <c r="G13" s="75">
        <v>0.0</v>
      </c>
      <c r="I13" s="157">
        <f t="shared" si="1"/>
        <v>12144</v>
      </c>
      <c r="J13" s="24"/>
      <c r="K13" s="157"/>
      <c r="L13" s="24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77" t="s">
        <v>165</v>
      </c>
      <c r="B14" s="77"/>
      <c r="C14" s="158"/>
      <c r="D14" s="77"/>
      <c r="E14" s="159"/>
      <c r="F14" s="159">
        <v>51024.0</v>
      </c>
      <c r="G14" s="159">
        <f>SUM(G10:G13)</f>
        <v>0</v>
      </c>
      <c r="I14" s="160">
        <f>SUM(I10:I13)</f>
        <v>51024</v>
      </c>
      <c r="J14" s="105"/>
      <c r="K14" s="159">
        <f>SUM(K10:K13)</f>
        <v>11</v>
      </c>
      <c r="L14" s="105"/>
      <c r="M14" s="10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55" t="s">
        <v>166</v>
      </c>
      <c r="B15" s="149" t="s">
        <v>167</v>
      </c>
      <c r="C15" s="150"/>
      <c r="D15" s="149"/>
      <c r="E15" s="75"/>
      <c r="F15" s="75"/>
      <c r="G15" s="75"/>
      <c r="I15" s="75"/>
      <c r="J15" s="24"/>
      <c r="K15" s="161"/>
      <c r="L15" s="24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62" t="s">
        <v>168</v>
      </c>
      <c r="B16" s="149">
        <v>3.0</v>
      </c>
      <c r="C16" s="150"/>
      <c r="D16" s="156">
        <v>2112.0</v>
      </c>
      <c r="E16" s="163"/>
      <c r="F16" s="75">
        <v>8448.0</v>
      </c>
      <c r="G16" s="75">
        <v>0.0</v>
      </c>
      <c r="I16" s="75">
        <f t="shared" ref="I16:I21" si="2">B16*D16</f>
        <v>6336</v>
      </c>
      <c r="J16" s="24" t="s">
        <v>169</v>
      </c>
      <c r="K16" s="75"/>
      <c r="L16" s="24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62" t="s">
        <v>170</v>
      </c>
      <c r="B17" s="149">
        <v>3.0</v>
      </c>
      <c r="C17" s="150"/>
      <c r="D17" s="156">
        <v>2112.0</v>
      </c>
      <c r="E17" s="163"/>
      <c r="F17" s="75">
        <v>6336.0</v>
      </c>
      <c r="G17" s="75">
        <v>0.0</v>
      </c>
      <c r="I17" s="75">
        <f t="shared" si="2"/>
        <v>6336</v>
      </c>
      <c r="J17" s="24" t="s">
        <v>171</v>
      </c>
      <c r="K17" s="75"/>
      <c r="L17" s="24" t="s">
        <v>169</v>
      </c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62" t="s">
        <v>172</v>
      </c>
      <c r="B18" s="149">
        <v>3.0</v>
      </c>
      <c r="C18" s="150"/>
      <c r="D18" s="156">
        <v>2112.0</v>
      </c>
      <c r="E18" s="163"/>
      <c r="F18" s="75">
        <v>6336.0</v>
      </c>
      <c r="G18" s="75">
        <v>0.0</v>
      </c>
      <c r="I18" s="75">
        <f t="shared" si="2"/>
        <v>6336</v>
      </c>
      <c r="J18" s="24" t="s">
        <v>169</v>
      </c>
      <c r="K18" s="75"/>
      <c r="L18" s="24"/>
      <c r="M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55" t="s">
        <v>173</v>
      </c>
      <c r="B19" s="149" t="s">
        <v>174</v>
      </c>
      <c r="C19" s="150"/>
      <c r="D19" s="156">
        <v>2112.0</v>
      </c>
      <c r="E19" s="163"/>
      <c r="F19" s="75">
        <v>6336.0</v>
      </c>
      <c r="G19" s="75">
        <v>0.0</v>
      </c>
      <c r="I19" s="75">
        <f t="shared" si="2"/>
        <v>6336</v>
      </c>
      <c r="J19" s="24" t="s">
        <v>175</v>
      </c>
      <c r="K19" s="164"/>
      <c r="L19" s="24" t="s">
        <v>169</v>
      </c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62" t="s">
        <v>176</v>
      </c>
      <c r="B20" s="149">
        <v>3.0</v>
      </c>
      <c r="C20" s="150"/>
      <c r="D20" s="156">
        <v>2664.0</v>
      </c>
      <c r="E20" s="163"/>
      <c r="F20" s="75">
        <v>7992.0</v>
      </c>
      <c r="G20" s="75">
        <v>0.0</v>
      </c>
      <c r="I20" s="75">
        <f t="shared" si="2"/>
        <v>7992</v>
      </c>
      <c r="J20" s="24" t="s">
        <v>175</v>
      </c>
      <c r="K20" s="75"/>
      <c r="L20" s="24" t="s">
        <v>169</v>
      </c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62" t="s">
        <v>177</v>
      </c>
      <c r="B21" s="149">
        <v>3.0</v>
      </c>
      <c r="C21" s="150"/>
      <c r="D21" s="156">
        <v>2112.0</v>
      </c>
      <c r="E21" s="163"/>
      <c r="F21" s="75">
        <v>6336.0</v>
      </c>
      <c r="G21" s="75">
        <v>0.0</v>
      </c>
      <c r="I21" s="75">
        <f t="shared" si="2"/>
        <v>6336</v>
      </c>
      <c r="J21" s="24" t="s">
        <v>171</v>
      </c>
      <c r="K21" s="75"/>
      <c r="L21" s="24" t="s">
        <v>169</v>
      </c>
      <c r="M21" s="2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65"/>
      <c r="B22" s="149"/>
      <c r="C22" s="150"/>
      <c r="D22" s="156"/>
      <c r="E22" s="163"/>
      <c r="F22" s="75"/>
      <c r="G22" s="75"/>
      <c r="I22" s="75"/>
      <c r="J22" s="24"/>
      <c r="K22" s="75"/>
      <c r="L22" s="24"/>
      <c r="M22" s="2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55" t="s">
        <v>178</v>
      </c>
      <c r="B23" s="149"/>
      <c r="C23" s="150"/>
      <c r="D23" s="156"/>
      <c r="E23" s="75"/>
      <c r="F23" s="75"/>
      <c r="G23" s="75"/>
      <c r="I23" s="75"/>
      <c r="J23" s="24"/>
      <c r="K23" s="75"/>
      <c r="L23" s="24"/>
      <c r="M23" s="2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62" t="s">
        <v>179</v>
      </c>
      <c r="B24" s="149">
        <v>3.0</v>
      </c>
      <c r="C24" s="150"/>
      <c r="D24" s="156">
        <v>2112.0</v>
      </c>
      <c r="E24" s="163"/>
      <c r="F24" s="75">
        <v>6336.0</v>
      </c>
      <c r="G24" s="75">
        <v>0.0</v>
      </c>
      <c r="I24" s="75">
        <f>B24*D24</f>
        <v>6336</v>
      </c>
      <c r="J24" s="24" t="s">
        <v>169</v>
      </c>
      <c r="K24" s="75"/>
      <c r="L24" s="24"/>
      <c r="M24" s="2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62"/>
      <c r="B25" s="149"/>
      <c r="C25" s="150"/>
      <c r="D25" s="156"/>
      <c r="E25" s="163"/>
      <c r="F25" s="75"/>
      <c r="G25" s="75"/>
      <c r="I25" s="75"/>
      <c r="J25" s="24" t="s">
        <v>169</v>
      </c>
      <c r="K25" s="75"/>
      <c r="L25" s="24"/>
      <c r="M25" s="2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66"/>
      <c r="B26" s="149"/>
      <c r="C26" s="150"/>
      <c r="D26" s="156"/>
      <c r="E26" s="163"/>
      <c r="F26" s="75"/>
      <c r="G26" s="75"/>
      <c r="I26" s="75"/>
      <c r="J26" s="24"/>
      <c r="K26" s="75"/>
      <c r="L26" s="24"/>
      <c r="M26" s="2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167" t="s">
        <v>180</v>
      </c>
      <c r="B27" s="168">
        <f>B21+B20+B19</f>
        <v>9</v>
      </c>
      <c r="C27" s="169"/>
      <c r="D27" s="170">
        <f>D21+D20+D19</f>
        <v>6888</v>
      </c>
      <c r="E27" s="48"/>
      <c r="F27" s="171">
        <f>F20+F19</f>
        <v>14328</v>
      </c>
      <c r="G27" s="48"/>
      <c r="I27" s="171">
        <f>I20+I19</f>
        <v>14328</v>
      </c>
      <c r="J27" s="24" t="s">
        <v>175</v>
      </c>
      <c r="K27" s="48"/>
      <c r="L27" s="24"/>
      <c r="M27" s="2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167" t="s">
        <v>181</v>
      </c>
      <c r="B28" s="168">
        <f>B24+B17</f>
        <v>6</v>
      </c>
      <c r="C28" s="169"/>
      <c r="D28" s="170">
        <f>D17+D24</f>
        <v>4224</v>
      </c>
      <c r="E28" s="48"/>
      <c r="F28" s="171">
        <f>F17+F21</f>
        <v>12672</v>
      </c>
      <c r="G28" s="48"/>
      <c r="I28" s="171">
        <f>I17+I21</f>
        <v>12672</v>
      </c>
      <c r="J28" s="24" t="s">
        <v>171</v>
      </c>
      <c r="K28" s="48"/>
      <c r="L28" s="24"/>
      <c r="M28" s="2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167" t="s">
        <v>182</v>
      </c>
      <c r="B29" s="168">
        <f>B25+B18+B16</f>
        <v>6</v>
      </c>
      <c r="C29" s="169"/>
      <c r="D29" s="168"/>
      <c r="E29" s="48">
        <f>SUM(E16:E25)</f>
        <v>0</v>
      </c>
      <c r="F29" s="171">
        <f>F24+F18+F16</f>
        <v>21120</v>
      </c>
      <c r="G29" s="48">
        <f>SUM(G16:G25)</f>
        <v>0</v>
      </c>
      <c r="I29" s="171">
        <f>I24+I18+I16</f>
        <v>19008</v>
      </c>
      <c r="J29" s="24" t="s">
        <v>169</v>
      </c>
      <c r="K29" s="48">
        <f>SUM(K16:K25)</f>
        <v>0</v>
      </c>
      <c r="L29" s="24"/>
      <c r="M29" s="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98" t="s">
        <v>183</v>
      </c>
      <c r="B30" s="98"/>
      <c r="C30" s="172"/>
      <c r="D30" s="98"/>
      <c r="E30" s="101">
        <f>+E14+E29</f>
        <v>0</v>
      </c>
      <c r="F30" s="173">
        <f>F28+F27+F14+F29</f>
        <v>99144</v>
      </c>
      <c r="G30" s="101">
        <f>+G14+G29</f>
        <v>0</v>
      </c>
      <c r="I30" s="173">
        <f>I28+I27+I14+I29</f>
        <v>97032</v>
      </c>
      <c r="J30" s="24"/>
      <c r="K30" s="157">
        <f>K14+K29</f>
        <v>11</v>
      </c>
      <c r="L30" s="24"/>
      <c r="M30" s="2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174" t="s">
        <v>184</v>
      </c>
      <c r="B31" s="2"/>
      <c r="C31" s="2"/>
      <c r="D31" s="2"/>
      <c r="E31" s="24"/>
      <c r="F31" s="24"/>
      <c r="G31" s="24"/>
      <c r="I31" s="2"/>
      <c r="J31" s="2"/>
      <c r="K31" s="2"/>
      <c r="L31" s="24"/>
      <c r="M31" s="2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75"/>
      <c r="B32" s="2"/>
      <c r="C32" s="2"/>
      <c r="D32" s="2"/>
      <c r="E32" s="24"/>
      <c r="F32" s="24"/>
      <c r="G32" s="24"/>
      <c r="I32" s="2"/>
      <c r="J32" s="2"/>
      <c r="K32" s="2"/>
      <c r="L32" s="24"/>
      <c r="M32" s="2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4"/>
      <c r="F33" s="24"/>
      <c r="G33" s="24"/>
      <c r="I33" s="2"/>
      <c r="J33" s="2"/>
      <c r="K33" s="2"/>
      <c r="L33" s="24"/>
      <c r="M33" s="2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 t="s">
        <v>185</v>
      </c>
      <c r="B41" s="90"/>
      <c r="C41" s="90"/>
      <c r="D41" s="4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 t="s">
        <v>186</v>
      </c>
      <c r="B42" s="90"/>
      <c r="C42" s="90"/>
      <c r="D42" s="49" t="s">
        <v>187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90"/>
      <c r="C43" s="90"/>
      <c r="D43" s="4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90"/>
      <c r="C44" s="90"/>
      <c r="D44" s="4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90"/>
      <c r="C45" s="90"/>
      <c r="D45" s="4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90"/>
      <c r="C46" s="90"/>
      <c r="D46" s="4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90"/>
      <c r="C47" s="90"/>
      <c r="D47" s="4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90"/>
      <c r="C48" s="90"/>
      <c r="D48" s="4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90"/>
      <c r="C49" s="90"/>
      <c r="D49" s="4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90"/>
      <c r="C50" s="90"/>
      <c r="D50" s="4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90"/>
      <c r="C51" s="90"/>
      <c r="D51" s="4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90"/>
      <c r="C52" s="90"/>
      <c r="D52" s="4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90"/>
      <c r="C53" s="90"/>
      <c r="D53" s="49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90"/>
      <c r="C54" s="9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90"/>
      <c r="C55" s="9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90"/>
      <c r="C56" s="9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90"/>
      <c r="C57" s="9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90"/>
      <c r="C58" s="9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90"/>
      <c r="C59" s="9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90"/>
      <c r="C60" s="9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90"/>
      <c r="C61" s="9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90"/>
      <c r="C62" s="9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90"/>
      <c r="C63" s="9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90"/>
      <c r="C64" s="9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90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90"/>
      <c r="C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90"/>
      <c r="C67" s="9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90"/>
      <c r="C68" s="9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90"/>
      <c r="C69" s="9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90"/>
      <c r="C70" s="9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90"/>
      <c r="C71" s="90"/>
      <c r="D71" s="17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90"/>
      <c r="C72" s="90"/>
      <c r="D72" s="176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90"/>
      <c r="C73" s="90"/>
      <c r="D73" s="4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90"/>
      <c r="C74" s="90"/>
      <c r="D74" s="49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I1"/>
    <mergeCell ref="A2:I2"/>
    <mergeCell ref="A3:I3"/>
  </mergeCells>
  <printOptions/>
  <pageMargins bottom="0.75" footer="0.0" header="0.0" left="0.7" right="0.7" top="0.75"/>
  <pageSetup orientation="landscape"/>
  <headerFooter>
    <oddHeader>&amp;RATTACHMENT A</oddHeader>
    <oddFooter>&amp;LASUCLA Student Support Services - &amp;D&amp;RPage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6.71"/>
    <col customWidth="1" min="2" max="2" width="5.71"/>
    <col customWidth="1" min="3" max="3" width="10.43"/>
    <col customWidth="1" min="4" max="4" width="8.86"/>
    <col customWidth="1" min="5" max="7" width="10.71"/>
    <col customWidth="1" min="8" max="8" width="3.71"/>
    <col customWidth="1" min="9" max="9" width="10.71"/>
    <col customWidth="1" min="10" max="10" width="2.57"/>
    <col customWidth="1" min="11" max="11" width="12.43"/>
    <col customWidth="1" min="12" max="12" width="20.71"/>
    <col customWidth="1" min="13" max="13" width="2.57"/>
    <col customWidth="1" min="14" max="26" width="8.0"/>
  </cols>
  <sheetData>
    <row r="1" ht="12.75" customHeight="1">
      <c r="A1" s="1" t="s">
        <v>0</v>
      </c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" t="s">
        <v>1</v>
      </c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44" t="s">
        <v>152</v>
      </c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2"/>
      <c r="B5" s="2"/>
      <c r="C5" s="2"/>
      <c r="D5" s="2"/>
      <c r="E5" s="105"/>
      <c r="F5" s="2"/>
      <c r="G5" s="2"/>
      <c r="I5" s="49"/>
      <c r="J5" s="1"/>
      <c r="K5" s="49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8"/>
      <c r="B6" s="8"/>
      <c r="C6" s="145"/>
      <c r="D6" s="146" t="s">
        <v>153</v>
      </c>
      <c r="E6" s="11"/>
      <c r="F6" s="147" t="s">
        <v>3</v>
      </c>
      <c r="G6" s="148" t="s">
        <v>154</v>
      </c>
      <c r="I6" s="11" t="s">
        <v>3</v>
      </c>
      <c r="J6" s="1"/>
      <c r="K6" s="11" t="s">
        <v>154</v>
      </c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2"/>
      <c r="B7" s="149" t="s">
        <v>155</v>
      </c>
      <c r="C7" s="150"/>
      <c r="D7" s="149" t="s">
        <v>156</v>
      </c>
      <c r="E7" s="13"/>
      <c r="F7" s="13" t="s">
        <v>7</v>
      </c>
      <c r="G7" s="13" t="s">
        <v>6</v>
      </c>
      <c r="I7" s="13" t="s">
        <v>8</v>
      </c>
      <c r="J7" s="1"/>
      <c r="K7" s="13"/>
      <c r="L7" s="1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5" t="s">
        <v>157</v>
      </c>
      <c r="B8" s="151"/>
      <c r="C8" s="152"/>
      <c r="D8" s="151" t="s">
        <v>158</v>
      </c>
      <c r="E8" s="17"/>
      <c r="F8" s="153" t="s">
        <v>11</v>
      </c>
      <c r="G8" s="154" t="s">
        <v>12</v>
      </c>
      <c r="I8" s="17" t="s">
        <v>11</v>
      </c>
      <c r="J8" s="1"/>
      <c r="K8" s="17" t="s">
        <v>12</v>
      </c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2"/>
      <c r="B9" s="149" t="s">
        <v>160</v>
      </c>
      <c r="C9" s="150"/>
      <c r="D9" s="149"/>
      <c r="E9" s="13"/>
      <c r="F9" s="13"/>
      <c r="G9" s="13"/>
      <c r="I9" s="13"/>
      <c r="J9" s="1"/>
      <c r="K9" s="13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155"/>
      <c r="B10" s="149">
        <v>12.0</v>
      </c>
      <c r="C10" s="150"/>
      <c r="D10" s="156"/>
      <c r="E10" s="75"/>
      <c r="F10" s="75"/>
      <c r="G10" s="75"/>
      <c r="I10" s="75"/>
      <c r="J10" s="24"/>
      <c r="K10" s="75"/>
      <c r="L10" s="24"/>
      <c r="M10" s="2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55"/>
      <c r="B11" s="149">
        <v>12.0</v>
      </c>
      <c r="C11" s="150"/>
      <c r="D11" s="156"/>
      <c r="E11" s="75"/>
      <c r="F11" s="75"/>
      <c r="G11" s="75"/>
      <c r="I11" s="75"/>
      <c r="J11" s="24"/>
      <c r="K11" s="75"/>
      <c r="L11" s="2"/>
      <c r="M11" s="2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55"/>
      <c r="B12" s="149">
        <v>12.0</v>
      </c>
      <c r="C12" s="150"/>
      <c r="D12" s="156"/>
      <c r="E12" s="75"/>
      <c r="F12" s="75"/>
      <c r="G12" s="75"/>
      <c r="I12" s="75"/>
      <c r="J12" s="24"/>
      <c r="K12" s="75"/>
      <c r="L12" s="24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55"/>
      <c r="B13" s="149">
        <v>12.0</v>
      </c>
      <c r="C13" s="150"/>
      <c r="D13" s="156"/>
      <c r="E13" s="75"/>
      <c r="F13" s="75"/>
      <c r="G13" s="75"/>
      <c r="I13" s="157"/>
      <c r="J13" s="24"/>
      <c r="K13" s="157"/>
      <c r="L13" s="24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77" t="s">
        <v>165</v>
      </c>
      <c r="B14" s="77"/>
      <c r="C14" s="158"/>
      <c r="D14" s="77"/>
      <c r="E14" s="159"/>
      <c r="F14" s="159">
        <f t="shared" ref="F14:G14" si="1">SUM(F10:F13)</f>
        <v>0</v>
      </c>
      <c r="G14" s="159">
        <f t="shared" si="1"/>
        <v>0</v>
      </c>
      <c r="I14" s="159">
        <f>SUM(I10:I13)</f>
        <v>0</v>
      </c>
      <c r="J14" s="105"/>
      <c r="K14" s="159">
        <f>SUM(K10:K13)</f>
        <v>0</v>
      </c>
      <c r="L14" s="105"/>
      <c r="M14" s="10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55"/>
      <c r="B15" s="149" t="s">
        <v>167</v>
      </c>
      <c r="C15" s="150"/>
      <c r="D15" s="149"/>
      <c r="E15" s="75"/>
      <c r="F15" s="75"/>
      <c r="G15" s="75"/>
      <c r="I15" s="75"/>
      <c r="J15" s="24"/>
      <c r="K15" s="161"/>
      <c r="L15" s="24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62" t="s">
        <v>188</v>
      </c>
      <c r="B16" s="149"/>
      <c r="C16" s="150"/>
      <c r="D16" s="156"/>
      <c r="E16" s="163"/>
      <c r="F16" s="75"/>
      <c r="G16" s="163"/>
      <c r="I16" s="75">
        <f t="shared" ref="I16:I19" si="2">B16*D16</f>
        <v>0</v>
      </c>
      <c r="J16" s="24"/>
      <c r="K16" s="75"/>
      <c r="L16" s="24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55" t="s">
        <v>189</v>
      </c>
      <c r="B17" s="149">
        <v>3.0</v>
      </c>
      <c r="C17" s="150"/>
      <c r="D17" s="156">
        <v>2112.0</v>
      </c>
      <c r="E17" s="163"/>
      <c r="F17" s="75">
        <v>6336.0</v>
      </c>
      <c r="G17" s="163"/>
      <c r="I17" s="75">
        <f t="shared" si="2"/>
        <v>6336</v>
      </c>
      <c r="J17" s="24"/>
      <c r="K17" s="75"/>
      <c r="L17" s="24"/>
      <c r="M17" s="2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77" t="s">
        <v>190</v>
      </c>
      <c r="B18" s="149">
        <v>3.0</v>
      </c>
      <c r="C18" s="150"/>
      <c r="D18" s="156">
        <v>2112.0</v>
      </c>
      <c r="E18" s="163"/>
      <c r="F18" s="75">
        <v>6336.0</v>
      </c>
      <c r="G18" s="163"/>
      <c r="I18" s="75">
        <f t="shared" si="2"/>
        <v>6336</v>
      </c>
      <c r="J18" s="24"/>
      <c r="K18" s="75"/>
      <c r="L18" s="24"/>
      <c r="M18" s="2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78" t="s">
        <v>191</v>
      </c>
      <c r="B19" s="179">
        <v>3.0</v>
      </c>
      <c r="C19" s="150"/>
      <c r="D19" s="180">
        <v>2112.0</v>
      </c>
      <c r="E19" s="75"/>
      <c r="F19" s="75">
        <v>6336.0</v>
      </c>
      <c r="G19" s="75"/>
      <c r="I19" s="75">
        <f t="shared" si="2"/>
        <v>6336</v>
      </c>
      <c r="J19" s="24"/>
      <c r="K19" s="164"/>
      <c r="L19" s="24"/>
      <c r="M19" s="2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55"/>
      <c r="B20" s="149"/>
      <c r="C20" s="150"/>
      <c r="D20" s="156"/>
      <c r="E20" s="75"/>
      <c r="F20" s="75"/>
      <c r="G20" s="75"/>
      <c r="I20" s="75"/>
      <c r="J20" s="24"/>
      <c r="K20" s="164"/>
      <c r="L20" s="24"/>
      <c r="M20" s="2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55" t="s">
        <v>192</v>
      </c>
      <c r="B21" s="149">
        <v>3.0</v>
      </c>
      <c r="C21" s="150"/>
      <c r="D21" s="156">
        <v>2112.0</v>
      </c>
      <c r="E21" s="75"/>
      <c r="F21" s="75">
        <v>6336.0</v>
      </c>
      <c r="G21" s="75"/>
      <c r="I21" s="75">
        <f t="shared" ref="I21:I23" si="3">B21*D21</f>
        <v>6336</v>
      </c>
      <c r="J21" s="24"/>
      <c r="K21" s="75"/>
      <c r="L21" s="24"/>
      <c r="M21" s="2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55" t="s">
        <v>193</v>
      </c>
      <c r="B22" s="149">
        <v>3.0</v>
      </c>
      <c r="C22" s="150"/>
      <c r="D22" s="156">
        <v>1320.0</v>
      </c>
      <c r="E22" s="75"/>
      <c r="F22" s="75">
        <v>3960.0</v>
      </c>
      <c r="G22" s="75"/>
      <c r="I22" s="75">
        <f t="shared" si="3"/>
        <v>3960</v>
      </c>
      <c r="J22" s="24"/>
      <c r="K22" s="75"/>
      <c r="L22" s="24"/>
      <c r="M22" s="2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81" t="s">
        <v>194</v>
      </c>
      <c r="B23" s="149">
        <v>3.0</v>
      </c>
      <c r="C23" s="150"/>
      <c r="D23" s="156">
        <v>1320.0</v>
      </c>
      <c r="E23" s="75"/>
      <c r="F23" s="75">
        <v>3960.0</v>
      </c>
      <c r="G23" s="75"/>
      <c r="I23" s="75">
        <f t="shared" si="3"/>
        <v>3960</v>
      </c>
      <c r="J23" s="24"/>
      <c r="K23" s="75"/>
      <c r="L23" s="24"/>
      <c r="M23" s="2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55"/>
      <c r="B24" s="149"/>
      <c r="C24" s="150"/>
      <c r="D24" s="182"/>
      <c r="E24" s="75"/>
      <c r="F24" s="75"/>
      <c r="G24" s="163"/>
      <c r="I24" s="75"/>
      <c r="J24" s="24"/>
      <c r="K24" s="75"/>
      <c r="L24" s="24"/>
      <c r="M24" s="2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55"/>
      <c r="B25" s="149"/>
      <c r="C25" s="150"/>
      <c r="D25" s="156"/>
      <c r="E25" s="163"/>
      <c r="F25" s="75"/>
      <c r="G25" s="163"/>
      <c r="I25" s="75"/>
      <c r="J25" s="24"/>
      <c r="K25" s="75"/>
      <c r="L25" s="24"/>
      <c r="M25" s="2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66"/>
      <c r="B26" s="149"/>
      <c r="C26" s="150"/>
      <c r="D26" s="156"/>
      <c r="E26" s="75"/>
      <c r="F26" s="75">
        <v>0.0</v>
      </c>
      <c r="G26" s="75">
        <v>0.0</v>
      </c>
      <c r="I26" s="75">
        <v>0.0</v>
      </c>
      <c r="J26" s="24"/>
      <c r="K26" s="75"/>
      <c r="L26" s="24"/>
      <c r="M26" s="2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66"/>
      <c r="B27" s="149"/>
      <c r="C27" s="150"/>
      <c r="D27" s="156"/>
      <c r="E27" s="75"/>
      <c r="F27" s="75">
        <v>0.0</v>
      </c>
      <c r="G27" s="75">
        <v>0.0</v>
      </c>
      <c r="I27" s="75">
        <f>B27*D27</f>
        <v>0</v>
      </c>
      <c r="J27" s="24"/>
      <c r="K27" s="75"/>
      <c r="L27" s="24"/>
      <c r="M27" s="2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77" t="s">
        <v>195</v>
      </c>
      <c r="B28" s="168">
        <f>SUM(B15:B27)</f>
        <v>18</v>
      </c>
      <c r="C28" s="169"/>
      <c r="D28" s="168"/>
      <c r="E28" s="48">
        <f t="shared" ref="E28:G28" si="4">SUM(E16:E27)</f>
        <v>0</v>
      </c>
      <c r="F28" s="48">
        <f t="shared" si="4"/>
        <v>33264</v>
      </c>
      <c r="G28" s="48">
        <f t="shared" si="4"/>
        <v>0</v>
      </c>
      <c r="I28" s="48">
        <f>SUM(I16:I27)</f>
        <v>33264</v>
      </c>
      <c r="J28" s="24"/>
      <c r="K28" s="48">
        <f>SUM(K16:K27)</f>
        <v>0</v>
      </c>
      <c r="L28" s="24"/>
      <c r="M28" s="2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98" t="s">
        <v>183</v>
      </c>
      <c r="B29" s="98"/>
      <c r="C29" s="172"/>
      <c r="D29" s="98"/>
      <c r="E29" s="101">
        <f t="shared" ref="E29:G29" si="5">+E14+E28</f>
        <v>0</v>
      </c>
      <c r="F29" s="101">
        <f t="shared" si="5"/>
        <v>33264</v>
      </c>
      <c r="G29" s="101">
        <f t="shared" si="5"/>
        <v>0</v>
      </c>
      <c r="I29" s="101">
        <f>+I14+I28</f>
        <v>33264</v>
      </c>
      <c r="J29" s="24"/>
      <c r="K29" s="157">
        <f>K14+K28</f>
        <v>0</v>
      </c>
      <c r="L29" s="24"/>
      <c r="M29" s="2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74"/>
      <c r="B30" s="2"/>
      <c r="C30" s="2"/>
      <c r="D30" s="2"/>
      <c r="E30" s="24"/>
      <c r="F30" s="24"/>
      <c r="G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75"/>
      <c r="B31" s="2"/>
      <c r="C31" s="2"/>
      <c r="D31" s="2"/>
      <c r="E31" s="24"/>
      <c r="F31" s="24"/>
      <c r="G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4"/>
      <c r="F32" s="24"/>
      <c r="G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90"/>
      <c r="C40" s="90"/>
      <c r="D40" s="4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90"/>
      <c r="C41" s="90"/>
      <c r="D41" s="49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90"/>
      <c r="C42" s="90"/>
      <c r="D42" s="4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90"/>
      <c r="C43" s="90"/>
      <c r="D43" s="49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90"/>
      <c r="C44" s="90"/>
      <c r="D44" s="4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90"/>
      <c r="C45" s="90"/>
      <c r="D45" s="49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90"/>
      <c r="C46" s="90"/>
      <c r="D46" s="49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90"/>
      <c r="C47" s="90"/>
      <c r="D47" s="49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90"/>
      <c r="C48" s="90"/>
      <c r="D48" s="49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90"/>
      <c r="C49" s="90"/>
      <c r="D49" s="49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90"/>
      <c r="C50" s="90"/>
      <c r="D50" s="4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90"/>
      <c r="C51" s="90"/>
      <c r="D51" s="49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90"/>
      <c r="C52" s="90"/>
      <c r="D52" s="4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90"/>
      <c r="C53" s="90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90"/>
      <c r="C54" s="9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90"/>
      <c r="C55" s="9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90"/>
      <c r="C56" s="90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90"/>
      <c r="C57" s="9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90"/>
      <c r="C58" s="9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90"/>
      <c r="C59" s="9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90"/>
      <c r="C60" s="9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90"/>
      <c r="C61" s="9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90"/>
      <c r="C62" s="90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90"/>
      <c r="C63" s="9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90"/>
      <c r="C64" s="9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90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90"/>
      <c r="C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90"/>
      <c r="C67" s="9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90"/>
      <c r="C68" s="90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90"/>
      <c r="C69" s="9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90"/>
      <c r="C70" s="90"/>
      <c r="D70" s="176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90"/>
      <c r="C71" s="90"/>
      <c r="D71" s="176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90"/>
      <c r="C72" s="90"/>
      <c r="D72" s="49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90"/>
      <c r="C73" s="90"/>
      <c r="D73" s="49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I1"/>
    <mergeCell ref="A2:I2"/>
    <mergeCell ref="A3:I3"/>
  </mergeCells>
  <printOptions/>
  <pageMargins bottom="0.75" footer="0.0" header="0.0" left="0.7" right="0.7" top="0.75"/>
  <pageSetup orientation="landscape"/>
  <headerFooter>
    <oddHeader>&amp;RATTACHMENT A</oddHeader>
    <oddFooter>&amp;LASUCLA Student Support Services - &amp;D&amp;RPage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29"/>
    <col customWidth="1" min="2" max="2" width="9.14"/>
    <col customWidth="1" min="3" max="3" width="9.71"/>
    <col customWidth="1" min="4" max="4" width="9.14"/>
    <col customWidth="1" min="5" max="5" width="10.86"/>
    <col customWidth="1" min="6" max="8" width="9.14"/>
    <col customWidth="1" min="9" max="26" width="8.0"/>
  </cols>
  <sheetData>
    <row r="1" ht="12.75" customHeight="1">
      <c r="A1" s="18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18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183" t="s">
        <v>196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1" t="s">
        <v>197</v>
      </c>
      <c r="D5" s="2"/>
      <c r="E5" s="2" t="s">
        <v>198</v>
      </c>
      <c r="F5" s="2"/>
      <c r="G5" s="1" t="s">
        <v>197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 t="s">
        <v>199</v>
      </c>
      <c r="B6" s="2"/>
      <c r="C6" s="1"/>
      <c r="D6" s="2"/>
      <c r="E6" s="1"/>
      <c r="F6" s="2"/>
      <c r="G6" s="1" t="s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 t="s">
        <v>200</v>
      </c>
      <c r="B8" s="2"/>
      <c r="C8" s="91">
        <f>'Staff Director Stipends'!I28</f>
        <v>33264</v>
      </c>
      <c r="D8" s="91"/>
      <c r="E8" s="91">
        <v>0.0</v>
      </c>
      <c r="F8" s="2"/>
      <c r="G8" s="184">
        <f>'OBUD.XLS '!I23</f>
        <v>33264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91"/>
      <c r="D9" s="91"/>
      <c r="E9" s="9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 t="s">
        <v>201</v>
      </c>
      <c r="B10" s="2"/>
      <c r="C10" s="91">
        <f>'STIPENDS '!I27+'STIPENDS '!I28+'STIPENDS '!I29</f>
        <v>46008</v>
      </c>
      <c r="D10" s="91"/>
      <c r="E10" s="91">
        <v>0.0</v>
      </c>
      <c r="F10" s="2"/>
      <c r="G10" s="184">
        <f>'OBUD.XLS '!I25+'OBUD.XLS '!I66+'OBUD.XLS '!I75</f>
        <v>46008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"/>
      <c r="C11" s="91"/>
      <c r="D11" s="91"/>
      <c r="E11" s="9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 t="s">
        <v>202</v>
      </c>
      <c r="B12" s="2"/>
      <c r="C12" s="91">
        <f>'STIPENDS '!I14</f>
        <v>51024</v>
      </c>
      <c r="D12" s="91"/>
      <c r="E12" s="91">
        <v>0.0</v>
      </c>
      <c r="F12" s="2"/>
      <c r="G12" s="184">
        <f>'OBUD.XLS '!I24</f>
        <v>51024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/>
      <c r="B13" s="2"/>
      <c r="C13" s="91"/>
      <c r="D13" s="91"/>
      <c r="E13" s="9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 t="s">
        <v>203</v>
      </c>
      <c r="B14" s="2"/>
      <c r="C14" s="50">
        <f>SUM(C8:C12)</f>
        <v>130296</v>
      </c>
      <c r="D14" s="91"/>
      <c r="E14" s="50">
        <f>SUM(E8:E12)</f>
        <v>0</v>
      </c>
      <c r="F14" s="2"/>
      <c r="G14" s="185">
        <f>SUM(G8:G13)</f>
        <v>130296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49" t="s">
        <v>204</v>
      </c>
      <c r="B16" s="2"/>
      <c r="C16" s="186">
        <v>0.019</v>
      </c>
      <c r="D16" s="187"/>
      <c r="E16" s="2">
        <v>0.0424</v>
      </c>
      <c r="F16" s="2"/>
      <c r="G16" s="2">
        <v>0.019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" t="s">
        <v>43</v>
      </c>
      <c r="B18" s="2"/>
      <c r="C18" s="188">
        <f>+C14*C16</f>
        <v>2475.624</v>
      </c>
      <c r="D18" s="189"/>
      <c r="E18" s="188">
        <f>+E14*E16</f>
        <v>0</v>
      </c>
      <c r="F18" s="2"/>
      <c r="G18" s="188">
        <f>G14*G16</f>
        <v>2475.624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49" t="s">
        <v>205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2:H2"/>
    <mergeCell ref="A3:H3"/>
  </mergeCells>
  <printOptions/>
  <pageMargins bottom="0.75" footer="0.0" header="0.0" left="0.7" right="0.7" top="0.75"/>
  <pageSetup orientation="landscape"/>
  <headerFooter>
    <oddHeader>&amp;C&amp;A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2020-05-19T17:48:55Z</dcterms:created>
  <dc:creator>Tran, Vuong</dc:creator>
</cp:coreProperties>
</file>