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0" yWindow="690" windowWidth="9195" windowHeight="11565" activeTab="0"/>
  </bookViews>
  <sheets>
    <sheet name="RevOBUD.XLS " sheetId="1" r:id="rId1"/>
    <sheet name="FEECALC" sheetId="2" r:id="rId2"/>
    <sheet name="STIPENDS " sheetId="3" r:id="rId3"/>
    <sheet name="Staff Director Stipends" sheetId="4" r:id="rId4"/>
    <sheet name="TAXES" sheetId="5" r:id="rId5"/>
    <sheet name="Sheet1" sheetId="6" r:id="rId6"/>
  </sheets>
  <externalReferences>
    <externalReference r:id="rId9"/>
    <externalReference r:id="rId10"/>
  </externalReferences>
  <definedNames>
    <definedName name="_Regression_Int" localSheetId="1" hidden="1">1</definedName>
    <definedName name="MONTH">#REF!</definedName>
    <definedName name="_xlnm.Print_Area" localSheetId="1">'FEECALC'!$A$1:$K$66</definedName>
    <definedName name="_xlnm.Print_Area" localSheetId="0">'RevOBUD.XLS '!$A$1:$J$77</definedName>
    <definedName name="_xlnm.Print_Area" localSheetId="3">'Staff Director Stipends'!$A$1:$L$30</definedName>
    <definedName name="_xlnm.Print_Area" localSheetId="2">'STIPENDS '!$A$1:$L$30</definedName>
    <definedName name="_xlnm.Print_Area" localSheetId="4">'TAXES'!$A$1:$H$21</definedName>
    <definedName name="Print_Area_MI" localSheetId="1">'FEECALC'!$O$5:$AB$53</definedName>
    <definedName name="Print_Area_MI">#REF!</definedName>
    <definedName name="_xlnm.Print_Titles" localSheetId="0">'RevOBUD.XLS '!$2:$3</definedName>
  </definedNames>
  <calcPr fullCalcOnLoad="1"/>
</workbook>
</file>

<file path=xl/comments1.xml><?xml version="1.0" encoding="utf-8"?>
<comments xmlns="http://schemas.openxmlformats.org/spreadsheetml/2006/main">
  <authors>
    <author>Tran, Vuong</author>
  </authors>
  <commentList>
    <comment ref="K84" authorId="0">
      <text>
        <r>
          <rPr>
            <b/>
            <sz val="9"/>
            <rFont val="Tahoma"/>
            <family val="2"/>
          </rPr>
          <t>Tran, Vuong:</t>
        </r>
        <r>
          <rPr>
            <sz val="9"/>
            <rFont val="Tahoma"/>
            <family val="2"/>
          </rPr>
          <t xml:space="preserve">
Need to get enrollment numbers and complete Aportion worksheet</t>
        </r>
      </text>
    </comment>
    <comment ref="J84" authorId="0">
      <text>
        <r>
          <rPr>
            <b/>
            <sz val="9"/>
            <rFont val="Tahoma"/>
            <family val="2"/>
          </rPr>
          <t>Tran, Vuong:</t>
        </r>
        <r>
          <rPr>
            <sz val="9"/>
            <rFont val="Tahoma"/>
            <family val="2"/>
          </rPr>
          <t xml:space="preserve">
75% of prior year allocatioin</t>
        </r>
      </text>
    </comment>
  </commentList>
</comments>
</file>

<file path=xl/sharedStrings.xml><?xml version="1.0" encoding="utf-8"?>
<sst xmlns="http://schemas.openxmlformats.org/spreadsheetml/2006/main" count="411" uniqueCount="217">
  <si>
    <t>ASSOCIATED STUDENTS UCLA</t>
  </si>
  <si>
    <t>GRADUATE STUDENTS ASSOCIATION</t>
  </si>
  <si>
    <t>GSA BUDGET INCOME WORKSHEET</t>
  </si>
  <si>
    <t>CHANGE</t>
  </si>
  <si>
    <t>% CHNG</t>
  </si>
  <si>
    <t>ENROLL</t>
  </si>
  <si>
    <t>EXECUTIVE AND FULLY EMPLOYED MBA*</t>
  </si>
  <si>
    <t>LEADERSHIP CO-HORT (SCHOOL OF EDUC)**</t>
  </si>
  <si>
    <t>HEALTH SCIENCES ***</t>
  </si>
  <si>
    <t>MANDATORY FEE</t>
  </si>
  <si>
    <t>AVERAGE DEPOSITS</t>
  </si>
  <si>
    <t>PROJECTED INTEREST RATE</t>
  </si>
  <si>
    <t>CENTRAL OFFICE FEES</t>
  </si>
  <si>
    <t>COUNCIL FEES</t>
  </si>
  <si>
    <t>UCSA FEES</t>
  </si>
  <si>
    <t>*** Excluding interns and residents, who do not pay GSA fees.</t>
  </si>
  <si>
    <t>MANDATORY MEMBERSHIP FEES CALCULATION</t>
  </si>
  <si>
    <t>GENERAL AND HEALTH SCIENCE</t>
  </si>
  <si>
    <t>+</t>
  </si>
  <si>
    <t>x</t>
  </si>
  <si>
    <t>=</t>
  </si>
  <si>
    <t>$</t>
  </si>
  <si>
    <t>DIRECT PAY FEES (ANDERSON AND LEADERSHIP)</t>
  </si>
  <si>
    <t>CENTRAL OFFICE INCOME CALCULATION</t>
  </si>
  <si>
    <t>UCSA CONTRIBUTION CALCULATION</t>
  </si>
  <si>
    <t>ORIGINAL</t>
  </si>
  <si>
    <t>REVISED*</t>
  </si>
  <si>
    <t>BUDGETABLE INCOME</t>
  </si>
  <si>
    <t>ACTUAL</t>
  </si>
  <si>
    <t xml:space="preserve">BUDGET </t>
  </si>
  <si>
    <t>BUDGET</t>
  </si>
  <si>
    <t>Membership Fees - Central Office</t>
  </si>
  <si>
    <t>Membership Fees - Councils</t>
  </si>
  <si>
    <t>CalPirg Voluntary Fee</t>
  </si>
  <si>
    <t>Interest Income</t>
  </si>
  <si>
    <t>Program Support/Other Income</t>
  </si>
  <si>
    <t>Surplus Withdrawal</t>
  </si>
  <si>
    <t>Council Carry-Over</t>
  </si>
  <si>
    <t xml:space="preserve">Non-Recurrent Income/Expense </t>
  </si>
  <si>
    <t>TOTAL BUDGETABLE INCOME</t>
  </si>
  <si>
    <t>BUDGETABLE EXPENSE-CENTRAL OFFICE</t>
  </si>
  <si>
    <t>Officer Stipends</t>
  </si>
  <si>
    <t>Director Stipends</t>
  </si>
  <si>
    <t>Payroll Taxes</t>
  </si>
  <si>
    <t>Supplies</t>
  </si>
  <si>
    <t>Telephone</t>
  </si>
  <si>
    <t>Photocopying</t>
  </si>
  <si>
    <t>Travel</t>
  </si>
  <si>
    <t>Cabinet Discretionary</t>
  </si>
  <si>
    <t>GSA President Discretionary</t>
  </si>
  <si>
    <t>GSA VP Internal Discretionary</t>
  </si>
  <si>
    <t>GSA VP External Discretionary</t>
  </si>
  <si>
    <t>GSA VP Academic Affairs Discretionary</t>
  </si>
  <si>
    <t>Forum Discretionary</t>
  </si>
  <si>
    <t>Appt/Elect Board Discretionary</t>
  </si>
  <si>
    <t>Elections</t>
  </si>
  <si>
    <t>Admin &amp; Support Services</t>
  </si>
  <si>
    <t>Maintenance</t>
  </si>
  <si>
    <t>Utilities</t>
  </si>
  <si>
    <t>Compulsory Fee Refund</t>
  </si>
  <si>
    <t>Bank Card Fees</t>
  </si>
  <si>
    <t>SUBTOTAL CENTRAL OFFICE</t>
  </si>
  <si>
    <t>BUDGETABLE EXPENSE-COUNCILS/PROGRAMMING</t>
  </si>
  <si>
    <t>Councils</t>
  </si>
  <si>
    <t>Melnitz Movies</t>
  </si>
  <si>
    <t>SUBTOTAL PROGRAMMING</t>
  </si>
  <si>
    <t>TOTAL BUDGETABLE EXPENSES</t>
  </si>
  <si>
    <t>NET</t>
  </si>
  <si>
    <t>REVISED</t>
  </si>
  <si>
    <t>ASUCLA Interaction Fund Contribution</t>
  </si>
  <si>
    <t>ASUCLA Interaction Fund Contr. Surplus</t>
  </si>
  <si>
    <t xml:space="preserve"># of </t>
  </si>
  <si>
    <t>$ of</t>
  </si>
  <si>
    <t xml:space="preserve">STIPENDS </t>
  </si>
  <si>
    <t>STIPEND</t>
  </si>
  <si>
    <t>Officers</t>
  </si>
  <si>
    <t>mths</t>
  </si>
  <si>
    <t>President</t>
  </si>
  <si>
    <t>Vice President-Internal</t>
  </si>
  <si>
    <t>Vice President-External</t>
  </si>
  <si>
    <t>Vice President-Academic Affairs</t>
  </si>
  <si>
    <t>SUBTOTAL OFFICER STIPENDS</t>
  </si>
  <si>
    <t>qtrs</t>
  </si>
  <si>
    <t xml:space="preserve">   Elections </t>
  </si>
  <si>
    <t xml:space="preserve">   Discretionary Funding</t>
  </si>
  <si>
    <t xml:space="preserve">   Publications</t>
  </si>
  <si>
    <t>TOTAL STIPENDS</t>
  </si>
  <si>
    <t>Original Budget</t>
  </si>
  <si>
    <t>Revised Budget</t>
  </si>
  <si>
    <t>Payroll Category</t>
  </si>
  <si>
    <t>Office Staff</t>
  </si>
  <si>
    <t>Commissoners Stipends</t>
  </si>
  <si>
    <t>Officers Stipends</t>
  </si>
  <si>
    <t>Total</t>
  </si>
  <si>
    <t>Budgeted Tax Rate **</t>
  </si>
  <si>
    <t>*    Per Anderson School, EMBA/FEMBA's do pay the GSA fee. SGA invoices and payment made direct to GSA.</t>
  </si>
  <si>
    <t xml:space="preserve">     Estimate based on prior year actual.</t>
  </si>
  <si>
    <t>**  Administered by School of Education.  SGA invoices and payment made direct to GSA. Estimate based on prior year actual.</t>
  </si>
  <si>
    <t>Publications-SFAC Fees  *</t>
  </si>
  <si>
    <t>SUBTOTAL DIRECTOR STIPENDS</t>
  </si>
  <si>
    <t>Director Stipends  - Report to President</t>
  </si>
  <si>
    <t>Legislative Directors - Report to President and VPE</t>
  </si>
  <si>
    <t xml:space="preserve">   Melnitz Movies</t>
  </si>
  <si>
    <t>Student Fee Advisory Committee (SFAC) Fees  *</t>
  </si>
  <si>
    <t>UCSA AUGMENTED CALCULATION FROM CENTRAL OFFICE</t>
  </si>
  <si>
    <t>GSRC Staff and Programming</t>
  </si>
  <si>
    <t>GSRC Oversight Committee Discretionary</t>
  </si>
  <si>
    <t>Sustainable Resource Center</t>
  </si>
  <si>
    <t>ORIG</t>
  </si>
  <si>
    <t>Inflation factor</t>
  </si>
  <si>
    <t>Go here to calculate stipend inflation</t>
  </si>
  <si>
    <t>http://www.westegg.com/inflation/</t>
  </si>
  <si>
    <t>Bank Charges</t>
  </si>
  <si>
    <t>TOTAL ENROLLMENT</t>
  </si>
  <si>
    <t xml:space="preserve">   Sustainability Center</t>
  </si>
  <si>
    <t xml:space="preserve">   Communications</t>
  </si>
  <si>
    <t xml:space="preserve">   Legislative Liaison </t>
  </si>
  <si>
    <t xml:space="preserve">   Graduate Student Events/Interaction</t>
  </si>
  <si>
    <t>Orientation</t>
  </si>
  <si>
    <t>*  Student Fee Advisory Committee (SFAC) Fees use is restricted by agreement with the University and</t>
  </si>
  <si>
    <t xml:space="preserve">    may only be used for Discretionary Programs and Publications.  </t>
  </si>
  <si>
    <r>
      <t xml:space="preserve">GENERAL CAMPUS (3 QUARTER AVERAGE, </t>
    </r>
    <r>
      <rPr>
        <sz val="8"/>
        <rFont val="Arial"/>
        <family val="2"/>
      </rPr>
      <t>Projected</t>
    </r>
    <r>
      <rPr>
        <sz val="10"/>
        <rFont val="Arial"/>
        <family val="2"/>
      </rPr>
      <t>)</t>
    </r>
  </si>
  <si>
    <t>GRADUATE STUDENT WRITING CENTER FEES</t>
  </si>
  <si>
    <t>COUNCILS INCOME CALCULATION</t>
  </si>
  <si>
    <t>WRITING CENTER INCOME CALCULATION</t>
  </si>
  <si>
    <t>UCSA DUES</t>
  </si>
  <si>
    <t>Graduate Student Resource Center (GSRC)</t>
  </si>
  <si>
    <t>Discretionary Programs - Interaction Fund</t>
  </si>
  <si>
    <t xml:space="preserve">  Campus Organizing Director</t>
  </si>
  <si>
    <t>Graduate Student Writing Center</t>
  </si>
  <si>
    <t>SFAC Fee Surplus  *</t>
  </si>
  <si>
    <t>Student Interest Group Board Discretionary **</t>
  </si>
  <si>
    <t>Discretionary Programs-SFAC Fees  *</t>
  </si>
  <si>
    <t>** Student Interest Board Discretionary 2006-07 Budget includes AGSA 2005-06 Surplus</t>
  </si>
  <si>
    <t>3</t>
  </si>
  <si>
    <t>AVERAGE DEPOSITS (P/Y) X EXPECTED RETURN</t>
  </si>
  <si>
    <t>Arts and Architecture</t>
  </si>
  <si>
    <t>Biological Sciences</t>
  </si>
  <si>
    <t>Dentistry</t>
  </si>
  <si>
    <t>Education</t>
  </si>
  <si>
    <t>Engineering</t>
  </si>
  <si>
    <t>Humanities</t>
  </si>
  <si>
    <t>Law</t>
  </si>
  <si>
    <t>Management</t>
  </si>
  <si>
    <t>Math and Physical Sciences</t>
  </si>
  <si>
    <t>Medicine</t>
  </si>
  <si>
    <t>Nursing</t>
  </si>
  <si>
    <t>Public Health</t>
  </si>
  <si>
    <t>Social Sciences</t>
  </si>
  <si>
    <t>The following preliminary Council budgets will be posted August 1st, representing 75% of prior year allocations.</t>
  </si>
  <si>
    <t>Total Council Preliminary</t>
  </si>
  <si>
    <t>Bruin Post Advertising</t>
  </si>
  <si>
    <t>Outside Advertising</t>
  </si>
  <si>
    <t>Director's in red have been remove from list and should not be included in 415 GSA budget</t>
  </si>
  <si>
    <t>Divison 450 Various Departments (Outside Funding)</t>
  </si>
  <si>
    <t>CPI as of 3/23/15</t>
  </si>
  <si>
    <t>2016-17</t>
  </si>
  <si>
    <t>** Used estimate of the amount of taxes paid out last year</t>
  </si>
  <si>
    <t>SURPLUS</t>
  </si>
  <si>
    <t>ANTICIPATED</t>
  </si>
  <si>
    <t>Programming Misc</t>
  </si>
  <si>
    <t>Graduate Students Events</t>
  </si>
  <si>
    <t>Services/Subscriptions/Website UCLA (6040)</t>
  </si>
  <si>
    <t>100%</t>
  </si>
  <si>
    <t>Special Projects</t>
  </si>
  <si>
    <t>Computer Supplies</t>
  </si>
  <si>
    <t>2017-2018</t>
  </si>
  <si>
    <t>CPI every year as of 3/23/15; must confirm w/UC</t>
  </si>
  <si>
    <t>2017-18</t>
  </si>
  <si>
    <t xml:space="preserve">Membership Fees - Writing Center </t>
  </si>
  <si>
    <t>Other Student Groups (Outside funding) SURPLUS</t>
  </si>
  <si>
    <t>Unallocated Surplus</t>
  </si>
  <si>
    <t>2018-19</t>
  </si>
  <si>
    <t xml:space="preserve">2018-2019 BUDGET </t>
  </si>
  <si>
    <t>2018-2019</t>
  </si>
  <si>
    <t>40%</t>
  </si>
  <si>
    <t>60%</t>
  </si>
  <si>
    <t>17-18</t>
  </si>
  <si>
    <t>2018-2019 BUDGET</t>
  </si>
  <si>
    <t>Finance Director</t>
  </si>
  <si>
    <t>Administrative Affairs Director</t>
  </si>
  <si>
    <t>Legislative Affairs Director</t>
  </si>
  <si>
    <t>Organizing Director</t>
  </si>
  <si>
    <t>Staff Director Stipends</t>
  </si>
  <si>
    <t>2018-2019 PAYROLL TAXES</t>
  </si>
  <si>
    <t>Depreciation - South Campus Copier</t>
  </si>
  <si>
    <t>Director of Diversity, Inclusion and Community Engagement</t>
  </si>
  <si>
    <t>Community Relations Director</t>
  </si>
  <si>
    <t>2018-19 Cabinet Pilot Progam Directors</t>
  </si>
  <si>
    <t>Oct - May</t>
  </si>
  <si>
    <t>Amount per Month</t>
  </si>
  <si>
    <t>Nov-Apr</t>
  </si>
  <si>
    <t>2018-2019 REVISED BUDGET</t>
  </si>
  <si>
    <t xml:space="preserve">2017-18 </t>
  </si>
  <si>
    <t>CHANGES</t>
  </si>
  <si>
    <t xml:space="preserve">REVISED </t>
  </si>
  <si>
    <t>Original 75%</t>
  </si>
  <si>
    <t>Allocation</t>
  </si>
  <si>
    <t>Balance</t>
  </si>
  <si>
    <t>Council</t>
  </si>
  <si>
    <t>Carryover</t>
  </si>
  <si>
    <t>Funds</t>
  </si>
  <si>
    <t>E</t>
  </si>
  <si>
    <t>F</t>
  </si>
  <si>
    <t>J</t>
  </si>
  <si>
    <t>D</t>
  </si>
  <si>
    <t>D/K</t>
  </si>
  <si>
    <t>A</t>
  </si>
  <si>
    <t>B</t>
  </si>
  <si>
    <t>C</t>
  </si>
  <si>
    <t>$29,924.26 + $67,199.73 = $97,123.99 SFAC Pub restricted</t>
  </si>
  <si>
    <t>Last year Disc. Prog used $28,145.21 + $4000 = $32,145.21 to SFAC Programs.  Remaining $57,075.93 to SFAC Publications.</t>
  </si>
  <si>
    <t>A, C</t>
  </si>
  <si>
    <t>B, C</t>
  </si>
  <si>
    <t>Notes</t>
  </si>
  <si>
    <t>$16,652.92 of Council Dentistry to Forum Discretionary, the rest is restricted.  Forum approve Dentistry to get its carryover excess</t>
  </si>
  <si>
    <t>$1000 Melz, $1000 SRC, $800 Forum Discretionary, $17,380.85 GSA Events Discretionary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</si>
</sst>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%"/>
    <numFmt numFmtId="167" formatCode="0.00_)"/>
    <numFmt numFmtId="168" formatCode="mmm"/>
    <numFmt numFmtId="169" formatCode="#,##0.0_);[Red]\(#,##0.0\)"/>
    <numFmt numFmtId="170" formatCode="&quot;$&quot;#,##0.0_);\(&quot;$&quot;#,##0.0\)"/>
    <numFmt numFmtId="171" formatCode="&quot;$&quot;#,##0.0_);[Red]\(&quot;$&quot;#,##0.0\)"/>
    <numFmt numFmtId="172" formatCode="#,##0.000_);[Red]\(#,##0.000\)"/>
    <numFmt numFmtId="173" formatCode="#,##0.0_);\(#,##0.0\)"/>
    <numFmt numFmtId="174" formatCode="hh:mm\ AM/PM"/>
    <numFmt numFmtId="175" formatCode="hh:mm:ss\ AM/PM"/>
    <numFmt numFmtId="176" formatCode="hh:mm"/>
    <numFmt numFmtId="177" formatCode="hh:mm:ss"/>
    <numFmt numFmtId="178" formatCode="m/d/yy\ hh:mm"/>
    <numFmt numFmtId="179" formatCode="#,##0.0"/>
    <numFmt numFmtId="180" formatCode="#,##0;\(#,##0\)"/>
    <numFmt numFmtId="181" formatCode="##,#0_;\(#,##0\)"/>
    <numFmt numFmtId="182" formatCode="#,##0_0;\(#,##0\)"/>
    <numFmt numFmtId="183" formatCode="0.0"/>
    <numFmt numFmtId="184" formatCode="dd\-mmm\-yy_)"/>
    <numFmt numFmtId="185" formatCode="mmm/d/yy"/>
    <numFmt numFmtId="186" formatCode="mmm\ d\,\ yyyy"/>
    <numFmt numFmtId="187" formatCode="mmmm\ d\,\ yyyy"/>
    <numFmt numFmtId="188" formatCode="00000"/>
    <numFmt numFmtId="189" formatCode="&quot;$&quot;#,##0.00"/>
    <numFmt numFmtId="190" formatCode="&quot;$&quot;#,##0;[Red]&quot;$&quot;#,##0"/>
    <numFmt numFmtId="191" formatCode="#,##0.00;[Red]#,##0.00"/>
    <numFmt numFmtId="192" formatCode="###,000"/>
    <numFmt numFmtId="193" formatCode="####"/>
    <numFmt numFmtId="194" formatCode="0000"/>
    <numFmt numFmtId="195" formatCode="m/d/yy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_);[Red]\(0.0\)"/>
    <numFmt numFmtId="201" formatCode="&quot;$&quot;#,##0"/>
    <numFmt numFmtId="202" formatCode="[$-409]dddd\,\ mmmm\ dd\,\ yyyy"/>
    <numFmt numFmtId="203" formatCode="m/d/yy;@"/>
    <numFmt numFmtId="204" formatCode="&quot;$&quot;#,##0;\(&quot;$&quot;#,##0\)"/>
    <numFmt numFmtId="205" formatCode=";;;"/>
    <numFmt numFmtId="206" formatCode="0.00%_);\(0.00%\)"/>
    <numFmt numFmtId="207" formatCode="0.00_);[Red]\(0.00\)"/>
    <numFmt numFmtId="208" formatCode="#,##0;[Red]#,##0"/>
    <numFmt numFmtId="209" formatCode="#,##0.000_);\(#,##0.000\)"/>
    <numFmt numFmtId="210" formatCode="#,##0.0000_);\(#,##0.0000\)"/>
    <numFmt numFmtId="211" formatCode="0_);\(0\)"/>
    <numFmt numFmtId="212" formatCode="0_);[Red]\(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0"/>
      <name val="MS Sans Serif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MS Sans Serif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ashed"/>
    </border>
    <border>
      <left style="double"/>
      <right style="double"/>
      <top style="double"/>
      <bottom style="dashed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64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37" fontId="4" fillId="0" borderId="17" xfId="0" applyNumberFormat="1" applyFont="1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37" fontId="4" fillId="0" borderId="19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37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37" fontId="4" fillId="0" borderId="22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1" xfId="0" applyFont="1" applyBorder="1" applyAlignment="1">
      <alignment horizontal="left"/>
    </xf>
    <xf numFmtId="37" fontId="4" fillId="0" borderId="0" xfId="0" applyNumberFormat="1" applyFont="1" applyAlignment="1">
      <alignment/>
    </xf>
    <xf numFmtId="0" fontId="4" fillId="0" borderId="23" xfId="0" applyFont="1" applyBorder="1" applyAlignment="1" quotePrefix="1">
      <alignment horizontal="left"/>
    </xf>
    <xf numFmtId="37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37" fontId="4" fillId="0" borderId="26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 quotePrefix="1">
      <alignment/>
    </xf>
    <xf numFmtId="0" fontId="4" fillId="0" borderId="12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37" fontId="4" fillId="0" borderId="19" xfId="0" applyNumberFormat="1" applyFont="1" applyBorder="1" applyAlignment="1" quotePrefix="1">
      <alignment horizontal="right"/>
    </xf>
    <xf numFmtId="37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 quotePrefix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 quotePrefix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 quotePrefix="1">
      <alignment horizontal="left"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38" fontId="4" fillId="0" borderId="0" xfId="43" applyFont="1" applyAlignment="1" applyProtection="1">
      <alignment/>
      <protection/>
    </xf>
    <xf numFmtId="10" fontId="4" fillId="0" borderId="0" xfId="6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38" fontId="4" fillId="0" borderId="33" xfId="42" applyNumberFormat="1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38" fontId="4" fillId="0" borderId="12" xfId="42" applyNumberFormat="1" applyFont="1" applyBorder="1" applyAlignment="1" quotePrefix="1">
      <alignment horizontal="right"/>
    </xf>
    <xf numFmtId="37" fontId="4" fillId="0" borderId="0" xfId="0" applyNumberFormat="1" applyFont="1" applyBorder="1" applyAlignment="1">
      <alignment/>
    </xf>
    <xf numFmtId="164" fontId="4" fillId="0" borderId="0" xfId="57" applyFont="1" applyAlignment="1" applyProtection="1">
      <alignment horizontal="centerContinuous"/>
      <protection/>
    </xf>
    <xf numFmtId="164" fontId="4" fillId="0" borderId="0" xfId="57" applyFont="1" applyAlignment="1">
      <alignment horizontal="centerContinuous"/>
      <protection/>
    </xf>
    <xf numFmtId="164" fontId="4" fillId="0" borderId="0" xfId="57" applyFont="1">
      <alignment/>
      <protection/>
    </xf>
    <xf numFmtId="164" fontId="4" fillId="0" borderId="0" xfId="57" applyFont="1" applyAlignment="1" applyProtection="1" quotePrefix="1">
      <alignment horizontal="centerContinuous"/>
      <protection/>
    </xf>
    <xf numFmtId="164" fontId="4" fillId="0" borderId="0" xfId="57" applyFont="1" applyAlignment="1" applyProtection="1">
      <alignment horizontal="left"/>
      <protection/>
    </xf>
    <xf numFmtId="164" fontId="4" fillId="0" borderId="0" xfId="57" applyFont="1" applyAlignment="1" applyProtection="1" quotePrefix="1">
      <alignment horizontal="center"/>
      <protection/>
    </xf>
    <xf numFmtId="164" fontId="4" fillId="0" borderId="0" xfId="57" applyFont="1" applyAlignment="1" applyProtection="1">
      <alignment horizontal="center"/>
      <protection/>
    </xf>
    <xf numFmtId="164" fontId="6" fillId="0" borderId="0" xfId="57">
      <alignment/>
      <protection/>
    </xf>
    <xf numFmtId="37" fontId="4" fillId="0" borderId="0" xfId="57" applyNumberFormat="1" applyFont="1" applyProtection="1">
      <alignment/>
      <protection/>
    </xf>
    <xf numFmtId="10" fontId="4" fillId="0" borderId="0" xfId="57" applyNumberFormat="1" applyFont="1" applyProtection="1">
      <alignment/>
      <protection/>
    </xf>
    <xf numFmtId="164" fontId="4" fillId="0" borderId="0" xfId="57" applyFont="1" applyAlignment="1" applyProtection="1" quotePrefix="1">
      <alignment horizontal="left"/>
      <protection/>
    </xf>
    <xf numFmtId="7" fontId="4" fillId="0" borderId="0" xfId="57" applyNumberFormat="1" applyFont="1" applyProtection="1">
      <alignment/>
      <protection/>
    </xf>
    <xf numFmtId="5" fontId="4" fillId="0" borderId="0" xfId="57" applyNumberFormat="1" applyFont="1" applyProtection="1">
      <alignment/>
      <protection/>
    </xf>
    <xf numFmtId="10" fontId="4" fillId="0" borderId="0" xfId="57" applyNumberFormat="1" applyFont="1">
      <alignment/>
      <protection/>
    </xf>
    <xf numFmtId="164" fontId="4" fillId="0" borderId="0" xfId="57" applyFont="1" applyAlignment="1" quotePrefix="1">
      <alignment horizontal="left"/>
      <protection/>
    </xf>
    <xf numFmtId="164" fontId="4" fillId="0" borderId="0" xfId="57" applyFont="1" applyAlignment="1">
      <alignment horizontal="left"/>
      <protection/>
    </xf>
    <xf numFmtId="164" fontId="4" fillId="0" borderId="0" xfId="57" applyFont="1" applyAlignment="1">
      <alignment/>
      <protection/>
    </xf>
    <xf numFmtId="164" fontId="7" fillId="0" borderId="0" xfId="57" applyFont="1" applyBorder="1" applyAlignment="1" applyProtection="1">
      <alignment horizontal="left"/>
      <protection/>
    </xf>
    <xf numFmtId="37" fontId="4" fillId="0" borderId="0" xfId="57" applyNumberFormat="1" applyFont="1" applyAlignment="1" applyProtection="1">
      <alignment horizontal="left"/>
      <protection/>
    </xf>
    <xf numFmtId="164" fontId="4" fillId="0" borderId="0" xfId="57" applyFont="1" applyProtection="1">
      <alignment/>
      <protection/>
    </xf>
    <xf numFmtId="164" fontId="4" fillId="0" borderId="0" xfId="57" applyFont="1" applyAlignment="1" applyProtection="1">
      <alignment horizontal="right"/>
      <protection/>
    </xf>
    <xf numFmtId="164" fontId="4" fillId="0" borderId="34" xfId="57" applyFont="1" applyBorder="1">
      <alignment/>
      <protection/>
    </xf>
    <xf numFmtId="37" fontId="4" fillId="0" borderId="34" xfId="57" applyNumberFormat="1" applyFont="1" applyBorder="1" applyProtection="1">
      <alignment/>
      <protection/>
    </xf>
    <xf numFmtId="164" fontId="4" fillId="0" borderId="34" xfId="57" applyFont="1" applyBorder="1" applyAlignment="1" applyProtection="1">
      <alignment horizontal="right"/>
      <protection/>
    </xf>
    <xf numFmtId="167" fontId="4" fillId="0" borderId="34" xfId="57" applyNumberFormat="1" applyFont="1" applyBorder="1" applyProtection="1">
      <alignment/>
      <protection/>
    </xf>
    <xf numFmtId="164" fontId="4" fillId="0" borderId="33" xfId="57" applyFont="1" applyBorder="1" applyAlignment="1" applyProtection="1">
      <alignment horizontal="right"/>
      <protection/>
    </xf>
    <xf numFmtId="37" fontId="4" fillId="0" borderId="33" xfId="57" applyNumberFormat="1" applyFont="1" applyBorder="1" applyProtection="1">
      <alignment/>
      <protection/>
    </xf>
    <xf numFmtId="164" fontId="4" fillId="0" borderId="0" xfId="57" applyFont="1" applyBorder="1">
      <alignment/>
      <protection/>
    </xf>
    <xf numFmtId="164" fontId="4" fillId="0" borderId="0" xfId="57" applyFont="1" applyAlignment="1" applyProtection="1">
      <alignment horizontal="fill"/>
      <protection/>
    </xf>
    <xf numFmtId="5" fontId="4" fillId="0" borderId="33" xfId="57" applyNumberFormat="1" applyFont="1" applyBorder="1" applyProtection="1">
      <alignment/>
      <protection/>
    </xf>
    <xf numFmtId="166" fontId="4" fillId="0" borderId="0" xfId="57" applyNumberFormat="1" applyFont="1" applyProtection="1">
      <alignment/>
      <protection/>
    </xf>
    <xf numFmtId="0" fontId="4" fillId="0" borderId="0" xfId="0" applyFont="1" applyBorder="1" applyAlignment="1">
      <alignment horizontal="center"/>
    </xf>
    <xf numFmtId="40" fontId="4" fillId="0" borderId="0" xfId="42" applyFont="1" applyAlignment="1">
      <alignment/>
    </xf>
    <xf numFmtId="38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38" fontId="4" fillId="0" borderId="0" xfId="42" applyNumberFormat="1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Continuous"/>
    </xf>
    <xf numFmtId="37" fontId="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33" xfId="0" applyFont="1" applyBorder="1" applyAlignment="1">
      <alignment horizontal="centerContinuous"/>
    </xf>
    <xf numFmtId="164" fontId="4" fillId="0" borderId="0" xfId="57" applyFont="1" applyBorder="1" applyAlignment="1" applyProtection="1">
      <alignment horizontal="right"/>
      <protection/>
    </xf>
    <xf numFmtId="37" fontId="4" fillId="0" borderId="0" xfId="57" applyNumberFormat="1" applyFont="1" applyBorder="1" applyProtection="1">
      <alignment/>
      <protection/>
    </xf>
    <xf numFmtId="164" fontId="4" fillId="0" borderId="35" xfId="57" applyFont="1" applyBorder="1" applyAlignment="1" applyProtection="1">
      <alignment horizontal="left"/>
      <protection/>
    </xf>
    <xf numFmtId="164" fontId="4" fillId="0" borderId="35" xfId="57" applyFont="1" applyBorder="1">
      <alignment/>
      <protection/>
    </xf>
    <xf numFmtId="166" fontId="4" fillId="0" borderId="35" xfId="57" applyNumberFormat="1" applyFont="1" applyBorder="1" applyProtection="1">
      <alignment/>
      <protection/>
    </xf>
    <xf numFmtId="164" fontId="4" fillId="0" borderId="35" xfId="57" applyFont="1" applyBorder="1" applyAlignment="1" applyProtection="1">
      <alignment horizontal="right"/>
      <protection/>
    </xf>
    <xf numFmtId="37" fontId="4" fillId="0" borderId="35" xfId="57" applyNumberFormat="1" applyFont="1" applyBorder="1" applyProtection="1">
      <alignment/>
      <protection/>
    </xf>
    <xf numFmtId="164" fontId="4" fillId="33" borderId="35" xfId="57" applyFont="1" applyFill="1" applyBorder="1" applyAlignment="1" applyProtection="1">
      <alignment horizontal="left"/>
      <protection/>
    </xf>
    <xf numFmtId="164" fontId="4" fillId="33" borderId="35" xfId="57" applyFont="1" applyFill="1" applyBorder="1">
      <alignment/>
      <protection/>
    </xf>
    <xf numFmtId="5" fontId="4" fillId="33" borderId="35" xfId="57" applyNumberFormat="1" applyFont="1" applyFill="1" applyBorder="1" applyProtection="1">
      <alignment/>
      <protection/>
    </xf>
    <xf numFmtId="0" fontId="4" fillId="0" borderId="0" xfId="0" applyFont="1" applyAlignment="1" quotePrefix="1">
      <alignment horizontal="left"/>
    </xf>
    <xf numFmtId="207" fontId="4" fillId="0" borderId="0" xfId="57" applyNumberFormat="1" applyFont="1" applyProtection="1">
      <alignment/>
      <protection/>
    </xf>
    <xf numFmtId="38" fontId="4" fillId="0" borderId="20" xfId="42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5" fontId="4" fillId="0" borderId="0" xfId="57" applyNumberFormat="1" applyFont="1" applyBorder="1" applyProtection="1">
      <alignment/>
      <protection/>
    </xf>
    <xf numFmtId="0" fontId="4" fillId="0" borderId="0" xfId="0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 quotePrefix="1">
      <alignment horizontal="right"/>
    </xf>
    <xf numFmtId="37" fontId="4" fillId="0" borderId="0" xfId="0" applyNumberFormat="1" applyFont="1" applyBorder="1" applyAlignment="1">
      <alignment/>
    </xf>
    <xf numFmtId="164" fontId="4" fillId="0" borderId="36" xfId="57" applyFont="1" applyBorder="1">
      <alignment/>
      <protection/>
    </xf>
    <xf numFmtId="164" fontId="4" fillId="0" borderId="36" xfId="57" applyFont="1" applyBorder="1" applyAlignment="1" applyProtection="1">
      <alignment horizontal="right"/>
      <protection/>
    </xf>
    <xf numFmtId="37" fontId="4" fillId="0" borderId="36" xfId="57" applyNumberFormat="1" applyFont="1" applyBorder="1" applyProtection="1">
      <alignment/>
      <protection/>
    </xf>
    <xf numFmtId="5" fontId="4" fillId="0" borderId="36" xfId="57" applyNumberFormat="1" applyFont="1" applyBorder="1" applyProtection="1">
      <alignment/>
      <protection/>
    </xf>
    <xf numFmtId="0" fontId="4" fillId="0" borderId="10" xfId="0" applyFont="1" applyBorder="1" applyAlignment="1">
      <alignment horizontal="center"/>
    </xf>
    <xf numFmtId="9" fontId="4" fillId="0" borderId="0" xfId="6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 quotePrefix="1">
      <alignment horizontal="left"/>
    </xf>
    <xf numFmtId="167" fontId="4" fillId="0" borderId="0" xfId="57" applyNumberFormat="1" applyFont="1" applyBorder="1" applyProtection="1">
      <alignment/>
      <protection/>
    </xf>
    <xf numFmtId="164" fontId="7" fillId="0" borderId="0" xfId="57" applyFont="1" applyBorder="1" applyAlignment="1" applyProtection="1" quotePrefix="1">
      <alignment horizontal="left"/>
      <protection/>
    </xf>
    <xf numFmtId="0" fontId="4" fillId="0" borderId="3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37" fontId="4" fillId="0" borderId="3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7" fontId="4" fillId="0" borderId="3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7" fontId="4" fillId="0" borderId="11" xfId="0" applyNumberFormat="1" applyFont="1" applyBorder="1" applyAlignment="1">
      <alignment/>
    </xf>
    <xf numFmtId="37" fontId="12" fillId="0" borderId="13" xfId="0" applyNumberFormat="1" applyFont="1" applyBorder="1" applyAlignment="1">
      <alignment/>
    </xf>
    <xf numFmtId="37" fontId="4" fillId="0" borderId="39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33" xfId="0" applyFont="1" applyFill="1" applyBorder="1" applyAlignment="1">
      <alignment horizontal="centerContinuous"/>
    </xf>
    <xf numFmtId="38" fontId="4" fillId="0" borderId="17" xfId="0" applyNumberFormat="1" applyFont="1" applyFill="1" applyBorder="1" applyAlignment="1">
      <alignment/>
    </xf>
    <xf numFmtId="38" fontId="4" fillId="0" borderId="2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7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 quotePrefix="1">
      <alignment horizontal="left"/>
    </xf>
    <xf numFmtId="37" fontId="14" fillId="0" borderId="13" xfId="0" applyNumberFormat="1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37" fontId="4" fillId="0" borderId="39" xfId="0" applyNumberFormat="1" applyFont="1" applyBorder="1" applyAlignment="1" quotePrefix="1">
      <alignment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 quotePrefix="1">
      <alignment horizontal="left"/>
    </xf>
    <xf numFmtId="0" fontId="8" fillId="0" borderId="16" xfId="0" applyFont="1" applyBorder="1" applyAlignment="1">
      <alignment/>
    </xf>
    <xf numFmtId="37" fontId="13" fillId="0" borderId="42" xfId="0" applyNumberFormat="1" applyFont="1" applyBorder="1" applyAlignment="1">
      <alignment/>
    </xf>
    <xf numFmtId="37" fontId="13" fillId="0" borderId="17" xfId="0" applyNumberFormat="1" applyFont="1" applyFill="1" applyBorder="1" applyAlignment="1">
      <alignment/>
    </xf>
    <xf numFmtId="37" fontId="15" fillId="0" borderId="17" xfId="0" applyNumberFormat="1" applyFont="1" applyBorder="1" applyAlignment="1">
      <alignment/>
    </xf>
    <xf numFmtId="37" fontId="15" fillId="0" borderId="22" xfId="0" applyNumberFormat="1" applyFont="1" applyBorder="1" applyAlignment="1">
      <alignment/>
    </xf>
    <xf numFmtId="37" fontId="16" fillId="0" borderId="17" xfId="0" applyNumberFormat="1" applyFont="1" applyBorder="1" applyAlignment="1">
      <alignment/>
    </xf>
    <xf numFmtId="37" fontId="16" fillId="0" borderId="38" xfId="0" applyNumberFormat="1" applyFont="1" applyBorder="1" applyAlignment="1">
      <alignment/>
    </xf>
    <xf numFmtId="37" fontId="17" fillId="0" borderId="17" xfId="0" applyNumberFormat="1" applyFont="1" applyBorder="1" applyAlignment="1">
      <alignment/>
    </xf>
    <xf numFmtId="0" fontId="59" fillId="0" borderId="0" xfId="0" applyFont="1" applyAlignment="1">
      <alignment horizontal="centerContinuous"/>
    </xf>
    <xf numFmtId="0" fontId="60" fillId="0" borderId="11" xfId="0" applyFont="1" applyFill="1" applyBorder="1" applyAlignment="1">
      <alignment horizontal="center"/>
    </xf>
    <xf numFmtId="37" fontId="4" fillId="0" borderId="17" xfId="0" applyNumberFormat="1" applyFont="1" applyFill="1" applyBorder="1" applyAlignment="1">
      <alignment/>
    </xf>
    <xf numFmtId="37" fontId="4" fillId="0" borderId="43" xfId="0" applyNumberFormat="1" applyFont="1" applyBorder="1" applyAlignment="1">
      <alignment/>
    </xf>
    <xf numFmtId="37" fontId="4" fillId="0" borderId="44" xfId="0" applyNumberFormat="1" applyFont="1" applyBorder="1" applyAlignment="1">
      <alignment/>
    </xf>
    <xf numFmtId="0" fontId="4" fillId="0" borderId="45" xfId="0" applyFont="1" applyBorder="1" applyAlignment="1" quotePrefix="1">
      <alignment horizontal="center"/>
    </xf>
    <xf numFmtId="37" fontId="60" fillId="0" borderId="22" xfId="0" applyNumberFormat="1" applyFont="1" applyBorder="1" applyAlignment="1">
      <alignment/>
    </xf>
    <xf numFmtId="37" fontId="60" fillId="0" borderId="17" xfId="0" applyNumberFormat="1" applyFont="1" applyBorder="1" applyAlignment="1">
      <alignment/>
    </xf>
    <xf numFmtId="37" fontId="60" fillId="0" borderId="17" xfId="0" applyNumberFormat="1" applyFont="1" applyFill="1" applyBorder="1" applyAlignment="1">
      <alignment/>
    </xf>
    <xf numFmtId="37" fontId="60" fillId="0" borderId="13" xfId="0" applyNumberFormat="1" applyFont="1" applyBorder="1" applyAlignment="1">
      <alignment/>
    </xf>
    <xf numFmtId="37" fontId="60" fillId="0" borderId="19" xfId="0" applyNumberFormat="1" applyFont="1" applyBorder="1" applyAlignment="1">
      <alignment/>
    </xf>
    <xf numFmtId="37" fontId="61" fillId="0" borderId="17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38" fontId="0" fillId="0" borderId="0" xfId="0" applyNumberFormat="1" applyFont="1" applyFill="1" applyAlignment="1">
      <alignment/>
    </xf>
    <xf numFmtId="7" fontId="60" fillId="0" borderId="0" xfId="57" applyNumberFormat="1" applyFont="1" applyProtection="1">
      <alignment/>
      <protection/>
    </xf>
    <xf numFmtId="164" fontId="60" fillId="0" borderId="0" xfId="57" applyFont="1">
      <alignment/>
      <protection/>
    </xf>
    <xf numFmtId="189" fontId="4" fillId="0" borderId="0" xfId="0" applyNumberFormat="1" applyFont="1" applyAlignment="1">
      <alignment/>
    </xf>
    <xf numFmtId="0" fontId="5" fillId="0" borderId="16" xfId="0" applyFont="1" applyBorder="1" applyAlignment="1" quotePrefix="1">
      <alignment horizontal="left"/>
    </xf>
    <xf numFmtId="39" fontId="60" fillId="0" borderId="17" xfId="0" applyNumberFormat="1" applyFont="1" applyBorder="1" applyAlignment="1">
      <alignment/>
    </xf>
    <xf numFmtId="39" fontId="62" fillId="0" borderId="17" xfId="0" applyNumberFormat="1" applyFont="1" applyBorder="1" applyAlignment="1">
      <alignment/>
    </xf>
    <xf numFmtId="37" fontId="62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3" fillId="0" borderId="13" xfId="0" applyFont="1" applyBorder="1" applyAlignment="1" quotePrefix="1">
      <alignment horizontal="center"/>
    </xf>
    <xf numFmtId="37" fontId="63" fillId="0" borderId="26" xfId="0" applyNumberFormat="1" applyFont="1" applyBorder="1" applyAlignment="1">
      <alignment/>
    </xf>
    <xf numFmtId="0" fontId="64" fillId="0" borderId="0" xfId="0" applyFont="1" applyAlignment="1">
      <alignment/>
    </xf>
    <xf numFmtId="37" fontId="62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7" fontId="12" fillId="0" borderId="0" xfId="0" applyNumberFormat="1" applyFont="1" applyBorder="1" applyAlignment="1">
      <alignment/>
    </xf>
    <xf numFmtId="37" fontId="63" fillId="0" borderId="0" xfId="0" applyNumberFormat="1" applyFont="1" applyBorder="1" applyAlignment="1">
      <alignment/>
    </xf>
    <xf numFmtId="0" fontId="63" fillId="0" borderId="12" xfId="0" applyFont="1" applyBorder="1" applyAlignment="1">
      <alignment horizontal="left"/>
    </xf>
    <xf numFmtId="0" fontId="63" fillId="0" borderId="12" xfId="0" applyFont="1" applyBorder="1" applyAlignment="1" quotePrefix="1">
      <alignment horizontal="left"/>
    </xf>
    <xf numFmtId="0" fontId="4" fillId="0" borderId="37" xfId="0" applyFont="1" applyBorder="1" applyAlignment="1">
      <alignment/>
    </xf>
    <xf numFmtId="0" fontId="4" fillId="0" borderId="34" xfId="0" applyFont="1" applyBorder="1" applyAlignment="1">
      <alignment/>
    </xf>
    <xf numFmtId="37" fontId="4" fillId="0" borderId="34" xfId="0" applyNumberFormat="1" applyFont="1" applyBorder="1" applyAlignment="1">
      <alignment/>
    </xf>
    <xf numFmtId="37" fontId="60" fillId="0" borderId="38" xfId="0" applyNumberFormat="1" applyFont="1" applyBorder="1" applyAlignment="1">
      <alignment/>
    </xf>
    <xf numFmtId="0" fontId="0" fillId="0" borderId="34" xfId="0" applyBorder="1" applyAlignment="1">
      <alignment/>
    </xf>
    <xf numFmtId="0" fontId="63" fillId="0" borderId="11" xfId="0" applyFont="1" applyBorder="1" applyAlignment="1" quotePrefix="1">
      <alignment horizontal="center"/>
    </xf>
    <xf numFmtId="0" fontId="63" fillId="0" borderId="15" xfId="0" applyFont="1" applyBorder="1" applyAlignment="1" quotePrefix="1">
      <alignment horizontal="center"/>
    </xf>
    <xf numFmtId="0" fontId="61" fillId="0" borderId="12" xfId="0" applyFont="1" applyBorder="1" applyAlignment="1" quotePrefix="1">
      <alignment horizontal="left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2" xfId="0" applyFont="1" applyBorder="1" applyAlignment="1" quotePrefix="1">
      <alignment horizontal="center"/>
    </xf>
    <xf numFmtId="0" fontId="65" fillId="0" borderId="18" xfId="0" applyFont="1" applyBorder="1" applyAlignment="1">
      <alignment horizontal="left"/>
    </xf>
    <xf numFmtId="0" fontId="65" fillId="0" borderId="18" xfId="0" applyFont="1" applyBorder="1" applyAlignment="1" quotePrefix="1">
      <alignment horizontal="center"/>
    </xf>
    <xf numFmtId="0" fontId="65" fillId="0" borderId="25" xfId="0" applyFont="1" applyBorder="1" applyAlignment="1">
      <alignment/>
    </xf>
    <xf numFmtId="37" fontId="12" fillId="0" borderId="17" xfId="0" applyNumberFormat="1" applyFont="1" applyBorder="1" applyAlignment="1">
      <alignment/>
    </xf>
    <xf numFmtId="38" fontId="5" fillId="0" borderId="17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38" fontId="4" fillId="0" borderId="22" xfId="0" applyNumberFormat="1" applyFont="1" applyFill="1" applyBorder="1" applyAlignment="1">
      <alignment/>
    </xf>
    <xf numFmtId="37" fontId="5" fillId="0" borderId="17" xfId="0" applyNumberFormat="1" applyFont="1" applyBorder="1" applyAlignment="1">
      <alignment/>
    </xf>
    <xf numFmtId="37" fontId="5" fillId="0" borderId="17" xfId="0" applyNumberFormat="1" applyFont="1" applyFill="1" applyBorder="1" applyAlignment="1">
      <alignment/>
    </xf>
    <xf numFmtId="38" fontId="4" fillId="0" borderId="38" xfId="0" applyNumberFormat="1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6" xfId="0" applyNumberFormat="1" applyFont="1" applyFill="1" applyBorder="1" applyAlignment="1">
      <alignment/>
    </xf>
    <xf numFmtId="0" fontId="18" fillId="0" borderId="12" xfId="0" applyFont="1" applyBorder="1" applyAlignment="1" quotePrefix="1">
      <alignment horizontal="left"/>
    </xf>
    <xf numFmtId="37" fontId="4" fillId="0" borderId="42" xfId="0" applyNumberFormat="1" applyFont="1" applyBorder="1" applyAlignment="1">
      <alignment/>
    </xf>
    <xf numFmtId="37" fontId="66" fillId="0" borderId="17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37" fontId="63" fillId="0" borderId="17" xfId="0" applyNumberFormat="1" applyFont="1" applyBorder="1" applyAlignment="1">
      <alignment/>
    </xf>
    <xf numFmtId="37" fontId="66" fillId="0" borderId="42" xfId="0" applyNumberFormat="1" applyFont="1" applyBorder="1" applyAlignment="1">
      <alignment/>
    </xf>
    <xf numFmtId="37" fontId="66" fillId="0" borderId="17" xfId="0" applyNumberFormat="1" applyFont="1" applyFill="1" applyBorder="1" applyAlignment="1">
      <alignment/>
    </xf>
    <xf numFmtId="189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11" fillId="0" borderId="0" xfId="0" applyFont="1" applyAlignment="1">
      <alignment/>
    </xf>
    <xf numFmtId="37" fontId="4" fillId="0" borderId="0" xfId="0" applyNumberFormat="1" applyFont="1" applyFill="1" applyAlignment="1">
      <alignment/>
    </xf>
    <xf numFmtId="37" fontId="61" fillId="0" borderId="17" xfId="0" applyNumberFormat="1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3" fillId="0" borderId="0" xfId="0" applyFont="1" applyAlignment="1" quotePrefix="1">
      <alignment horizontal="center"/>
    </xf>
    <xf numFmtId="0" fontId="6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ECAL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ent%20Govt\GSA\BUDGET\708\Staff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udent%20Govt\GSA\APORTION\718\718ENROL_3Qtr%20Avg%20For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BUD.XLS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RLL718"/>
      <sheetName val="CARRYOVER718"/>
      <sheetName val="TOTAL718"/>
      <sheetName val="CALC718"/>
    </sheetNames>
    <sheetDataSet>
      <sheetData sheetId="3">
        <row r="13">
          <cell r="L13">
            <v>9998</v>
          </cell>
        </row>
        <row r="15">
          <cell r="L15">
            <v>11935</v>
          </cell>
        </row>
        <row r="17">
          <cell r="L17">
            <v>5902</v>
          </cell>
        </row>
        <row r="19">
          <cell r="L19">
            <v>7983</v>
          </cell>
        </row>
        <row r="21">
          <cell r="L21">
            <v>26330</v>
          </cell>
        </row>
        <row r="23">
          <cell r="L23">
            <v>7106</v>
          </cell>
        </row>
        <row r="25">
          <cell r="L25">
            <v>15167</v>
          </cell>
        </row>
        <row r="27">
          <cell r="L27">
            <v>26474</v>
          </cell>
        </row>
        <row r="29">
          <cell r="L29">
            <v>10103</v>
          </cell>
        </row>
        <row r="31">
          <cell r="L31">
            <v>26527</v>
          </cell>
        </row>
        <row r="33">
          <cell r="L33">
            <v>5287</v>
          </cell>
        </row>
        <row r="35">
          <cell r="L35">
            <v>6936</v>
          </cell>
        </row>
        <row r="37">
          <cell r="L37">
            <v>18649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="118" zoomScaleNormal="118" zoomScalePageLayoutView="0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98" sqref="K98"/>
    </sheetView>
  </sheetViews>
  <sheetFormatPr defaultColWidth="9.140625" defaultRowHeight="12.75"/>
  <cols>
    <col min="1" max="1" width="35.7109375" style="2" customWidth="1"/>
    <col min="2" max="2" width="7.8515625" style="2" customWidth="1"/>
    <col min="3" max="3" width="10.7109375" style="147" customWidth="1"/>
    <col min="4" max="4" width="10.7109375" style="2" hidden="1" customWidth="1"/>
    <col min="5" max="5" width="10.8515625" style="2" hidden="1" customWidth="1"/>
    <col min="6" max="6" width="10.8515625" style="2" customWidth="1"/>
    <col min="7" max="7" width="2.421875" style="2" hidden="1" customWidth="1"/>
    <col min="8" max="8" width="13.00390625" style="2" hidden="1" customWidth="1"/>
    <col min="9" max="9" width="2.7109375" style="2" customWidth="1"/>
    <col min="10" max="11" width="12.421875" style="2" bestFit="1" customWidth="1"/>
    <col min="12" max="12" width="12.8515625" style="184" customWidth="1"/>
    <col min="13" max="13" width="4.421875" style="2" bestFit="1" customWidth="1"/>
    <col min="14" max="14" width="11.421875" style="2" bestFit="1" customWidth="1"/>
    <col min="15" max="15" width="57.421875" style="2" bestFit="1" customWidth="1"/>
    <col min="16" max="16384" width="9.140625" style="2" customWidth="1"/>
  </cols>
  <sheetData>
    <row r="1" spans="1:8" ht="12.75">
      <c r="A1" s="1" t="s">
        <v>0</v>
      </c>
      <c r="B1" s="1"/>
      <c r="C1" s="141"/>
      <c r="D1" s="1"/>
      <c r="E1" s="1"/>
      <c r="F1" s="1"/>
      <c r="G1" s="1"/>
      <c r="H1" s="1"/>
    </row>
    <row r="2" spans="1:10" ht="12.75">
      <c r="A2" s="1" t="s">
        <v>1</v>
      </c>
      <c r="B2" s="1"/>
      <c r="C2" s="141"/>
      <c r="D2" s="1"/>
      <c r="E2" s="1"/>
      <c r="F2" s="1"/>
      <c r="G2" s="1"/>
      <c r="H2" s="1"/>
      <c r="I2" s="1"/>
      <c r="J2" s="92"/>
    </row>
    <row r="3" spans="1:10" ht="13.5" thickBot="1">
      <c r="A3" s="99" t="s">
        <v>192</v>
      </c>
      <c r="B3" s="99"/>
      <c r="C3" s="142"/>
      <c r="D3" s="99"/>
      <c r="E3" s="99"/>
      <c r="F3" s="194"/>
      <c r="G3" s="194"/>
      <c r="H3" s="194"/>
      <c r="I3" s="1"/>
      <c r="J3" s="92"/>
    </row>
    <row r="4" spans="1:12" ht="13.5" thickTop="1">
      <c r="A4" s="3"/>
      <c r="B4" s="36"/>
      <c r="C4" s="168"/>
      <c r="D4" s="4" t="s">
        <v>25</v>
      </c>
      <c r="E4" s="4" t="s">
        <v>26</v>
      </c>
      <c r="F4" s="4"/>
      <c r="G4" s="116"/>
      <c r="H4" s="4" t="s">
        <v>159</v>
      </c>
      <c r="I4"/>
      <c r="J4" s="4" t="s">
        <v>25</v>
      </c>
      <c r="K4" s="4"/>
      <c r="L4" s="4" t="s">
        <v>195</v>
      </c>
    </row>
    <row r="5" spans="1:12" ht="12.75">
      <c r="A5" s="5"/>
      <c r="B5" s="33"/>
      <c r="C5" s="179" t="s">
        <v>156</v>
      </c>
      <c r="D5" s="134" t="s">
        <v>168</v>
      </c>
      <c r="E5" s="6" t="s">
        <v>168</v>
      </c>
      <c r="F5" s="6" t="s">
        <v>193</v>
      </c>
      <c r="G5" s="116"/>
      <c r="H5" s="190"/>
      <c r="I5"/>
      <c r="J5" s="6" t="s">
        <v>172</v>
      </c>
      <c r="K5" s="6" t="s">
        <v>194</v>
      </c>
      <c r="L5" s="6" t="s">
        <v>172</v>
      </c>
    </row>
    <row r="6" spans="1:15" ht="13.5" thickBot="1">
      <c r="A6" s="7" t="s">
        <v>27</v>
      </c>
      <c r="B6" s="37"/>
      <c r="C6" s="180" t="s">
        <v>28</v>
      </c>
      <c r="D6" s="172" t="s">
        <v>29</v>
      </c>
      <c r="E6" s="8" t="s">
        <v>30</v>
      </c>
      <c r="F6" s="8" t="s">
        <v>30</v>
      </c>
      <c r="G6" s="116"/>
      <c r="H6" s="8" t="s">
        <v>158</v>
      </c>
      <c r="I6"/>
      <c r="J6" s="8" t="s">
        <v>30</v>
      </c>
      <c r="K6" s="8"/>
      <c r="L6" s="8" t="s">
        <v>30</v>
      </c>
      <c r="O6" s="2" t="s">
        <v>214</v>
      </c>
    </row>
    <row r="7" spans="1:13" ht="13.5" thickTop="1">
      <c r="A7" s="11" t="s">
        <v>31</v>
      </c>
      <c r="B7" s="38"/>
      <c r="C7" s="143">
        <v>218821</v>
      </c>
      <c r="D7" s="170">
        <v>235160</v>
      </c>
      <c r="E7" s="148"/>
      <c r="F7" s="148">
        <f>D7+E7</f>
        <v>235160</v>
      </c>
      <c r="G7" s="57"/>
      <c r="H7" s="160"/>
      <c r="I7"/>
      <c r="J7" s="226">
        <f>FEECALC!K39</f>
        <v>238197</v>
      </c>
      <c r="K7" s="160"/>
      <c r="L7" s="230">
        <f>J7+K7</f>
        <v>238197</v>
      </c>
      <c r="M7" s="2" t="s">
        <v>205</v>
      </c>
    </row>
    <row r="8" spans="1:13" ht="12.75">
      <c r="A8" s="11" t="s">
        <v>32</v>
      </c>
      <c r="B8" s="39"/>
      <c r="C8" s="143">
        <v>165120</v>
      </c>
      <c r="D8" s="171">
        <v>178398</v>
      </c>
      <c r="E8" s="10"/>
      <c r="F8" s="10">
        <f aca="true" t="shared" si="0" ref="F8:F17">D8+E8</f>
        <v>178398</v>
      </c>
      <c r="G8" s="57"/>
      <c r="H8" s="162"/>
      <c r="I8"/>
      <c r="J8" s="10">
        <f>FEECALC!K45</f>
        <v>180701</v>
      </c>
      <c r="K8" s="162"/>
      <c r="L8" s="227">
        <f aca="true" t="shared" si="1" ref="L8:L19">J8+K8</f>
        <v>180701</v>
      </c>
      <c r="M8" s="2" t="s">
        <v>202</v>
      </c>
    </row>
    <row r="9" spans="1:13" ht="12.75">
      <c r="A9" s="18" t="s">
        <v>169</v>
      </c>
      <c r="B9" s="39"/>
      <c r="C9" s="143">
        <v>128795</v>
      </c>
      <c r="D9" s="171">
        <v>141421</v>
      </c>
      <c r="E9" s="10"/>
      <c r="F9" s="10">
        <f t="shared" si="0"/>
        <v>141421</v>
      </c>
      <c r="G9" s="57"/>
      <c r="H9" s="164"/>
      <c r="I9"/>
      <c r="J9" s="10">
        <f>FEECALC!K52</f>
        <v>144562</v>
      </c>
      <c r="K9" s="164"/>
      <c r="L9" s="227">
        <f t="shared" si="1"/>
        <v>144562</v>
      </c>
      <c r="M9" s="2" t="s">
        <v>203</v>
      </c>
    </row>
    <row r="10" spans="1:12" ht="12.75">
      <c r="A10" s="18" t="s">
        <v>33</v>
      </c>
      <c r="B10" s="39"/>
      <c r="C10" s="143">
        <v>12334</v>
      </c>
      <c r="D10" s="10"/>
      <c r="E10" s="10"/>
      <c r="F10" s="10"/>
      <c r="G10" s="57"/>
      <c r="H10" s="10"/>
      <c r="I10"/>
      <c r="J10" s="10">
        <v>0</v>
      </c>
      <c r="K10" s="10"/>
      <c r="L10" s="227">
        <f t="shared" si="1"/>
        <v>0</v>
      </c>
    </row>
    <row r="11" spans="1:13" ht="12.75">
      <c r="A11" s="9" t="s">
        <v>34</v>
      </c>
      <c r="B11" s="38"/>
      <c r="C11" s="143">
        <v>0</v>
      </c>
      <c r="D11" s="169">
        <v>9</v>
      </c>
      <c r="E11" s="10"/>
      <c r="F11" s="10">
        <f t="shared" si="0"/>
        <v>9</v>
      </c>
      <c r="G11" s="57"/>
      <c r="H11" s="161"/>
      <c r="I11"/>
      <c r="J11" s="169">
        <f>FEECALC!K66</f>
        <v>9</v>
      </c>
      <c r="K11" s="161"/>
      <c r="L11" s="231">
        <f t="shared" si="1"/>
        <v>9</v>
      </c>
      <c r="M11" s="2" t="s">
        <v>205</v>
      </c>
    </row>
    <row r="12" spans="1:12" ht="12.75">
      <c r="A12" s="11" t="s">
        <v>35</v>
      </c>
      <c r="B12" s="39"/>
      <c r="C12" s="143">
        <v>37263</v>
      </c>
      <c r="D12" s="10"/>
      <c r="E12" s="10"/>
      <c r="F12" s="10"/>
      <c r="G12" s="57"/>
      <c r="H12" s="10"/>
      <c r="I12"/>
      <c r="J12" s="10">
        <v>0</v>
      </c>
      <c r="K12" s="10"/>
      <c r="L12" s="227">
        <f t="shared" si="1"/>
        <v>0</v>
      </c>
    </row>
    <row r="13" spans="1:12" ht="12.75">
      <c r="A13" s="11" t="s">
        <v>36</v>
      </c>
      <c r="B13" s="39"/>
      <c r="C13" s="143"/>
      <c r="D13" s="10"/>
      <c r="E13" s="10"/>
      <c r="F13" s="10"/>
      <c r="G13" s="195"/>
      <c r="H13" s="10"/>
      <c r="I13"/>
      <c r="J13" s="10">
        <v>25000</v>
      </c>
      <c r="K13" s="229"/>
      <c r="L13" s="227">
        <f t="shared" si="1"/>
        <v>25000</v>
      </c>
    </row>
    <row r="14" spans="1:15" ht="12.75">
      <c r="A14" s="11" t="s">
        <v>36</v>
      </c>
      <c r="B14" s="39"/>
      <c r="C14" s="143">
        <v>169509</v>
      </c>
      <c r="D14" s="10">
        <v>25000</v>
      </c>
      <c r="E14" s="10">
        <v>414454</v>
      </c>
      <c r="F14" s="10">
        <f t="shared" si="0"/>
        <v>439454</v>
      </c>
      <c r="G14" s="57"/>
      <c r="H14" s="10">
        <v>25000</v>
      </c>
      <c r="I14"/>
      <c r="J14" s="10"/>
      <c r="K14" s="235">
        <f>404005.31-K13-K18-K20-25000</f>
        <v>169734.21999999997</v>
      </c>
      <c r="L14" s="227">
        <f t="shared" si="1"/>
        <v>169734.21999999997</v>
      </c>
      <c r="N14" s="147" t="s">
        <v>209</v>
      </c>
      <c r="O14" s="234" t="s">
        <v>215</v>
      </c>
    </row>
    <row r="15" spans="1:14" ht="12.75">
      <c r="A15" s="11" t="s">
        <v>37</v>
      </c>
      <c r="B15" s="39"/>
      <c r="C15" s="143">
        <v>60074</v>
      </c>
      <c r="D15" s="10"/>
      <c r="E15" s="10"/>
      <c r="F15" s="10"/>
      <c r="G15" s="57"/>
      <c r="H15" s="10"/>
      <c r="I15"/>
      <c r="J15" s="10">
        <v>0</v>
      </c>
      <c r="K15" s="169"/>
      <c r="L15" s="227">
        <f t="shared" si="1"/>
        <v>0</v>
      </c>
      <c r="N15" s="147"/>
    </row>
    <row r="16" spans="1:14" ht="12.75">
      <c r="A16" s="11" t="s">
        <v>38</v>
      </c>
      <c r="B16" s="39"/>
      <c r="C16" s="143"/>
      <c r="D16" s="10"/>
      <c r="E16" s="10"/>
      <c r="F16" s="10"/>
      <c r="G16" s="57"/>
      <c r="H16" s="10"/>
      <c r="I16"/>
      <c r="J16" s="10">
        <v>0</v>
      </c>
      <c r="K16" s="169"/>
      <c r="L16" s="227">
        <f t="shared" si="1"/>
        <v>0</v>
      </c>
      <c r="N16" s="147"/>
    </row>
    <row r="17" spans="1:14" ht="12.75">
      <c r="A17" s="18" t="s">
        <v>69</v>
      </c>
      <c r="B17" s="39"/>
      <c r="C17" s="143">
        <v>61666</v>
      </c>
      <c r="D17" s="10">
        <v>61666</v>
      </c>
      <c r="E17" s="10"/>
      <c r="F17" s="10">
        <f t="shared" si="0"/>
        <v>61666</v>
      </c>
      <c r="G17" s="57"/>
      <c r="H17" s="178"/>
      <c r="I17"/>
      <c r="J17" s="10">
        <v>61666</v>
      </c>
      <c r="K17" s="236"/>
      <c r="L17" s="227">
        <f t="shared" si="1"/>
        <v>61666</v>
      </c>
      <c r="M17" s="2" t="s">
        <v>204</v>
      </c>
      <c r="N17" s="147"/>
    </row>
    <row r="18" spans="1:15" ht="12.75">
      <c r="A18" s="18" t="s">
        <v>70</v>
      </c>
      <c r="B18" s="39"/>
      <c r="C18" s="143">
        <v>36314</v>
      </c>
      <c r="D18" s="10">
        <v>0</v>
      </c>
      <c r="E18" s="10"/>
      <c r="F18" s="10"/>
      <c r="G18" s="57"/>
      <c r="H18" s="10"/>
      <c r="I18"/>
      <c r="J18" s="10">
        <v>0</v>
      </c>
      <c r="K18" s="169">
        <f>20180.85+2745.11</f>
        <v>22925.96</v>
      </c>
      <c r="L18" s="227">
        <f t="shared" si="1"/>
        <v>22925.96</v>
      </c>
      <c r="N18" s="147" t="s">
        <v>207</v>
      </c>
      <c r="O18" s="234" t="s">
        <v>216</v>
      </c>
    </row>
    <row r="19" spans="1:14" ht="12.75">
      <c r="A19" s="18" t="s">
        <v>103</v>
      </c>
      <c r="B19" s="39"/>
      <c r="C19" s="143">
        <v>67249</v>
      </c>
      <c r="D19" s="10">
        <v>0</v>
      </c>
      <c r="E19" s="10"/>
      <c r="F19" s="10"/>
      <c r="G19" s="57"/>
      <c r="H19" s="10"/>
      <c r="I19"/>
      <c r="J19" s="10">
        <v>0</v>
      </c>
      <c r="K19" s="236"/>
      <c r="L19" s="227">
        <f t="shared" si="1"/>
        <v>0</v>
      </c>
      <c r="N19" s="147"/>
    </row>
    <row r="20" spans="1:15" ht="13.5" thickBot="1">
      <c r="A20" s="18" t="s">
        <v>130</v>
      </c>
      <c r="B20" s="39"/>
      <c r="C20" s="143">
        <v>77094</v>
      </c>
      <c r="D20" s="10" t="s">
        <v>163</v>
      </c>
      <c r="E20" s="10"/>
      <c r="F20" s="10"/>
      <c r="G20" s="57"/>
      <c r="H20" s="10"/>
      <c r="I20"/>
      <c r="J20" s="10" t="s">
        <v>163</v>
      </c>
      <c r="K20" s="178">
        <f>13577.72+29924.26+685.94+67199.73+74957.48</f>
        <v>186345.13</v>
      </c>
      <c r="L20" s="227">
        <f>K20</f>
        <v>186345.13</v>
      </c>
      <c r="N20" s="147" t="s">
        <v>208</v>
      </c>
      <c r="O20" s="234" t="s">
        <v>210</v>
      </c>
    </row>
    <row r="21" spans="1:15" ht="14.25" customHeight="1" thickBot="1" thickTop="1">
      <c r="A21" s="12" t="s">
        <v>39</v>
      </c>
      <c r="B21" s="40"/>
      <c r="C21" s="216">
        <f>SUM(C7:C20)</f>
        <v>1034239</v>
      </c>
      <c r="D21" s="13">
        <f>SUM(D7:D20)</f>
        <v>641654</v>
      </c>
      <c r="E21" s="13">
        <f>SUM(E7:E20)</f>
        <v>414454</v>
      </c>
      <c r="F21" s="13">
        <f>SUM(F7:F20)</f>
        <v>1056108</v>
      </c>
      <c r="G21" s="195"/>
      <c r="H21" s="13">
        <f>SUM(H7:H20)</f>
        <v>25000</v>
      </c>
      <c r="I21"/>
      <c r="J21" s="13">
        <f>SUM(J7:J19)</f>
        <v>650135</v>
      </c>
      <c r="K21" s="13">
        <f>SUM(K7:K20)</f>
        <v>379005.30999999994</v>
      </c>
      <c r="L21" s="13">
        <f>SUM(L7:L20)</f>
        <v>1029140.3099999999</v>
      </c>
      <c r="N21" s="147"/>
      <c r="O21" s="237" t="s">
        <v>211</v>
      </c>
    </row>
    <row r="22" spans="1:15" ht="14.25" thickBot="1" thickTop="1">
      <c r="A22" s="14" t="s">
        <v>40</v>
      </c>
      <c r="B22" s="14"/>
      <c r="C22" s="144"/>
      <c r="D22" s="217"/>
      <c r="E22" s="15"/>
      <c r="F22" s="57"/>
      <c r="G22" s="57"/>
      <c r="H22" s="57"/>
      <c r="I22"/>
      <c r="J22"/>
      <c r="N22" s="147"/>
      <c r="O22" s="237"/>
    </row>
    <row r="23" spans="1:14" ht="13.5" thickTop="1">
      <c r="A23" s="16" t="s">
        <v>183</v>
      </c>
      <c r="B23" s="41"/>
      <c r="C23" s="218">
        <v>11217</v>
      </c>
      <c r="D23" s="17">
        <v>14400</v>
      </c>
      <c r="E23" s="17"/>
      <c r="F23" s="17">
        <f>D23+E23</f>
        <v>14400</v>
      </c>
      <c r="G23" s="195"/>
      <c r="H23" s="173"/>
      <c r="I23"/>
      <c r="J23" s="17">
        <f>'Staff Director Stipends'!I28</f>
        <v>19200</v>
      </c>
      <c r="K23" s="17"/>
      <c r="L23" s="17">
        <f>J23+K23</f>
        <v>19200</v>
      </c>
      <c r="M23" s="2" t="s">
        <v>205</v>
      </c>
      <c r="N23" s="147"/>
    </row>
    <row r="24" spans="1:14" ht="12.75">
      <c r="A24" s="18" t="s">
        <v>41</v>
      </c>
      <c r="B24" s="39"/>
      <c r="C24" s="143">
        <v>36256</v>
      </c>
      <c r="D24" s="10">
        <v>36804</v>
      </c>
      <c r="E24" s="10"/>
      <c r="F24" s="10">
        <f aca="true" t="shared" si="2" ref="F24:F57">D24+E24</f>
        <v>36804</v>
      </c>
      <c r="G24" s="195"/>
      <c r="H24" s="174"/>
      <c r="I24"/>
      <c r="J24" s="10">
        <f>'STIPENDS '!I14</f>
        <v>37500</v>
      </c>
      <c r="K24" s="10"/>
      <c r="L24" s="10">
        <f aca="true" t="shared" si="3" ref="L24:L57">J24+K24</f>
        <v>37500</v>
      </c>
      <c r="M24" s="2" t="s">
        <v>205</v>
      </c>
      <c r="N24" s="147"/>
    </row>
    <row r="25" spans="1:14" ht="12.75">
      <c r="A25" s="11" t="s">
        <v>42</v>
      </c>
      <c r="B25" s="39"/>
      <c r="C25" s="143">
        <v>38600</v>
      </c>
      <c r="D25" s="10">
        <v>37400</v>
      </c>
      <c r="E25" s="10">
        <f>2400+1300</f>
        <v>3700</v>
      </c>
      <c r="F25" s="10">
        <f t="shared" si="2"/>
        <v>41100</v>
      </c>
      <c r="G25" s="195"/>
      <c r="H25" s="174"/>
      <c r="I25"/>
      <c r="J25" s="10">
        <f>'STIPENDS '!I28</f>
        <v>37100</v>
      </c>
      <c r="K25" s="10"/>
      <c r="L25" s="10">
        <f t="shared" si="3"/>
        <v>37100</v>
      </c>
      <c r="M25" s="2" t="s">
        <v>205</v>
      </c>
      <c r="N25" s="147"/>
    </row>
    <row r="26" spans="1:14" ht="12.75">
      <c r="A26" s="9" t="s">
        <v>43</v>
      </c>
      <c r="B26" s="38"/>
      <c r="C26" s="143">
        <v>4044</v>
      </c>
      <c r="D26" s="10">
        <v>4000</v>
      </c>
      <c r="E26" s="10"/>
      <c r="F26" s="10">
        <f t="shared" si="2"/>
        <v>4000</v>
      </c>
      <c r="G26" s="195"/>
      <c r="H26" s="174"/>
      <c r="I26"/>
      <c r="J26" s="10">
        <f>TAXES!G18</f>
        <v>1941.6599999999999</v>
      </c>
      <c r="K26" s="10"/>
      <c r="L26" s="10">
        <f t="shared" si="3"/>
        <v>1941.6599999999999</v>
      </c>
      <c r="M26" s="2" t="s">
        <v>205</v>
      </c>
      <c r="N26" s="147"/>
    </row>
    <row r="27" spans="1:14" ht="12.75">
      <c r="A27" s="11" t="s">
        <v>112</v>
      </c>
      <c r="B27" s="38"/>
      <c r="C27" s="143">
        <v>3230</v>
      </c>
      <c r="D27" s="10">
        <v>2400</v>
      </c>
      <c r="E27" s="10"/>
      <c r="F27" s="10">
        <f t="shared" si="2"/>
        <v>2400</v>
      </c>
      <c r="G27" s="195"/>
      <c r="H27" s="174"/>
      <c r="I27"/>
      <c r="J27" s="10">
        <v>3230</v>
      </c>
      <c r="K27" s="10"/>
      <c r="L27" s="10">
        <f t="shared" si="3"/>
        <v>3230</v>
      </c>
      <c r="M27" s="2" t="s">
        <v>205</v>
      </c>
      <c r="N27" s="147"/>
    </row>
    <row r="28" spans="1:14" ht="12.75">
      <c r="A28" s="9" t="s">
        <v>44</v>
      </c>
      <c r="B28" s="38"/>
      <c r="C28" s="143">
        <v>1902</v>
      </c>
      <c r="D28" s="10">
        <v>600</v>
      </c>
      <c r="E28" s="10"/>
      <c r="F28" s="10">
        <f t="shared" si="2"/>
        <v>600</v>
      </c>
      <c r="G28" s="195"/>
      <c r="H28" s="174"/>
      <c r="I28"/>
      <c r="J28" s="10">
        <v>988</v>
      </c>
      <c r="K28" s="10"/>
      <c r="L28" s="10">
        <f t="shared" si="3"/>
        <v>988</v>
      </c>
      <c r="M28" s="2" t="s">
        <v>205</v>
      </c>
      <c r="N28" s="147"/>
    </row>
    <row r="29" spans="1:14" ht="12.75">
      <c r="A29" s="11" t="s">
        <v>165</v>
      </c>
      <c r="B29" s="38"/>
      <c r="C29" s="143">
        <v>0</v>
      </c>
      <c r="D29" s="10">
        <v>0</v>
      </c>
      <c r="E29" s="10"/>
      <c r="F29" s="10">
        <f t="shared" si="2"/>
        <v>0</v>
      </c>
      <c r="G29" s="195"/>
      <c r="H29" s="193"/>
      <c r="I29"/>
      <c r="J29" s="10">
        <v>0</v>
      </c>
      <c r="K29" s="10"/>
      <c r="L29" s="10">
        <f t="shared" si="3"/>
        <v>0</v>
      </c>
      <c r="M29" s="2" t="s">
        <v>205</v>
      </c>
      <c r="N29" s="147"/>
    </row>
    <row r="30" spans="1:14" ht="12.75">
      <c r="A30" s="9" t="s">
        <v>45</v>
      </c>
      <c r="B30" s="38"/>
      <c r="C30" s="143">
        <v>1338</v>
      </c>
      <c r="D30" s="10">
        <v>2000</v>
      </c>
      <c r="E30" s="10"/>
      <c r="F30" s="10">
        <f t="shared" si="2"/>
        <v>2000</v>
      </c>
      <c r="G30" s="195"/>
      <c r="H30" s="174"/>
      <c r="I30"/>
      <c r="J30" s="10">
        <v>2000</v>
      </c>
      <c r="K30" s="10"/>
      <c r="L30" s="10">
        <f t="shared" si="3"/>
        <v>2000</v>
      </c>
      <c r="M30" s="2" t="s">
        <v>205</v>
      </c>
      <c r="N30" s="147"/>
    </row>
    <row r="31" spans="1:14" ht="12.75">
      <c r="A31" s="9" t="s">
        <v>162</v>
      </c>
      <c r="B31" s="38"/>
      <c r="C31" s="143">
        <v>703</v>
      </c>
      <c r="D31" s="10">
        <v>900</v>
      </c>
      <c r="E31" s="10"/>
      <c r="F31" s="10">
        <f t="shared" si="2"/>
        <v>900</v>
      </c>
      <c r="G31" s="195"/>
      <c r="H31" s="174"/>
      <c r="I31"/>
      <c r="J31" s="10">
        <v>900</v>
      </c>
      <c r="K31" s="10"/>
      <c r="L31" s="10">
        <f t="shared" si="3"/>
        <v>900</v>
      </c>
      <c r="M31" s="2" t="s">
        <v>205</v>
      </c>
      <c r="N31" s="147"/>
    </row>
    <row r="32" spans="1:14" ht="12.75">
      <c r="A32" s="9" t="s">
        <v>46</v>
      </c>
      <c r="B32" s="38"/>
      <c r="C32" s="143">
        <v>4638</v>
      </c>
      <c r="D32" s="10">
        <v>3900</v>
      </c>
      <c r="E32" s="10"/>
      <c r="F32" s="10">
        <f t="shared" si="2"/>
        <v>3900</v>
      </c>
      <c r="G32" s="195"/>
      <c r="H32" s="174"/>
      <c r="I32"/>
      <c r="J32" s="10">
        <v>4900</v>
      </c>
      <c r="K32" s="10"/>
      <c r="L32" s="10">
        <f t="shared" si="3"/>
        <v>4900</v>
      </c>
      <c r="M32" s="2" t="s">
        <v>205</v>
      </c>
      <c r="N32" s="147"/>
    </row>
    <row r="33" spans="1:14" ht="12.75">
      <c r="A33" s="9" t="s">
        <v>185</v>
      </c>
      <c r="B33" s="38"/>
      <c r="C33" s="143">
        <v>0</v>
      </c>
      <c r="D33" s="10">
        <v>9508</v>
      </c>
      <c r="E33" s="10">
        <f>2700+9650</f>
        <v>12350</v>
      </c>
      <c r="F33" s="10">
        <f t="shared" si="2"/>
        <v>21858</v>
      </c>
      <c r="G33" s="195"/>
      <c r="H33" s="174"/>
      <c r="I33"/>
      <c r="J33" s="10">
        <v>2343</v>
      </c>
      <c r="K33" s="10"/>
      <c r="L33" s="10">
        <f t="shared" si="3"/>
        <v>2343</v>
      </c>
      <c r="M33" s="2" t="s">
        <v>205</v>
      </c>
      <c r="N33" s="147"/>
    </row>
    <row r="34" spans="1:14" ht="12.75">
      <c r="A34" s="9" t="s">
        <v>152</v>
      </c>
      <c r="B34" s="38"/>
      <c r="C34" s="143">
        <v>144</v>
      </c>
      <c r="D34" s="10">
        <v>900</v>
      </c>
      <c r="E34" s="10"/>
      <c r="F34" s="10">
        <f t="shared" si="2"/>
        <v>900</v>
      </c>
      <c r="G34" s="195"/>
      <c r="H34" s="174"/>
      <c r="I34"/>
      <c r="J34" s="10">
        <v>400</v>
      </c>
      <c r="K34" s="10">
        <v>500</v>
      </c>
      <c r="L34" s="10">
        <f t="shared" si="3"/>
        <v>900</v>
      </c>
      <c r="M34" s="2" t="s">
        <v>205</v>
      </c>
      <c r="N34" s="147" t="s">
        <v>209</v>
      </c>
    </row>
    <row r="35" spans="1:14" ht="12.75">
      <c r="A35" s="9" t="s">
        <v>47</v>
      </c>
      <c r="B35" s="38"/>
      <c r="C35" s="143">
        <v>4367</v>
      </c>
      <c r="D35" s="10">
        <v>4000</v>
      </c>
      <c r="E35" s="10"/>
      <c r="F35" s="10">
        <f t="shared" si="2"/>
        <v>4000</v>
      </c>
      <c r="G35" s="57"/>
      <c r="H35" s="174"/>
      <c r="I35"/>
      <c r="J35" s="10">
        <v>4000</v>
      </c>
      <c r="K35" s="10"/>
      <c r="L35" s="10">
        <f t="shared" si="3"/>
        <v>4000</v>
      </c>
      <c r="M35" s="2" t="s">
        <v>205</v>
      </c>
      <c r="N35" s="147"/>
    </row>
    <row r="36" spans="1:14" ht="12.75">
      <c r="A36" s="9" t="s">
        <v>151</v>
      </c>
      <c r="B36" s="38"/>
      <c r="C36" s="143">
        <v>123</v>
      </c>
      <c r="D36" s="10">
        <v>800</v>
      </c>
      <c r="E36" s="10"/>
      <c r="F36" s="10">
        <f t="shared" si="2"/>
        <v>800</v>
      </c>
      <c r="G36" s="57"/>
      <c r="H36" s="174"/>
      <c r="I36"/>
      <c r="J36" s="10">
        <v>400</v>
      </c>
      <c r="K36" s="10"/>
      <c r="L36" s="10">
        <f t="shared" si="3"/>
        <v>400</v>
      </c>
      <c r="M36" s="2" t="s">
        <v>205</v>
      </c>
      <c r="N36" s="147"/>
    </row>
    <row r="37" spans="1:14" ht="12.75">
      <c r="A37" s="9" t="s">
        <v>48</v>
      </c>
      <c r="B37" s="38"/>
      <c r="C37" s="143">
        <v>1256</v>
      </c>
      <c r="D37" s="10">
        <v>3000</v>
      </c>
      <c r="E37" s="10"/>
      <c r="F37" s="10">
        <f t="shared" si="2"/>
        <v>3000</v>
      </c>
      <c r="G37" s="57"/>
      <c r="H37" s="174"/>
      <c r="I37"/>
      <c r="J37" s="10">
        <v>3000</v>
      </c>
      <c r="K37" s="10"/>
      <c r="L37" s="10">
        <f t="shared" si="3"/>
        <v>3000</v>
      </c>
      <c r="M37" s="2" t="s">
        <v>205</v>
      </c>
      <c r="N37" s="147"/>
    </row>
    <row r="38" spans="1:14" ht="12.75">
      <c r="A38" s="18" t="s">
        <v>49</v>
      </c>
      <c r="B38" s="42"/>
      <c r="C38" s="143">
        <v>1067</v>
      </c>
      <c r="D38" s="10">
        <v>1000</v>
      </c>
      <c r="E38" s="10">
        <v>1275</v>
      </c>
      <c r="F38" s="10">
        <f t="shared" si="2"/>
        <v>2275</v>
      </c>
      <c r="G38" s="57"/>
      <c r="H38" s="174"/>
      <c r="I38"/>
      <c r="J38" s="10">
        <v>1500</v>
      </c>
      <c r="K38" s="10"/>
      <c r="L38" s="10">
        <f t="shared" si="3"/>
        <v>1500</v>
      </c>
      <c r="M38" s="2" t="s">
        <v>205</v>
      </c>
      <c r="N38" s="147"/>
    </row>
    <row r="39" spans="1:14" ht="12.75">
      <c r="A39" s="18" t="s">
        <v>50</v>
      </c>
      <c r="B39" s="42"/>
      <c r="C39" s="143">
        <v>679</v>
      </c>
      <c r="D39" s="10">
        <v>1000</v>
      </c>
      <c r="E39" s="10">
        <v>13000</v>
      </c>
      <c r="F39" s="10">
        <f t="shared" si="2"/>
        <v>14000</v>
      </c>
      <c r="G39" s="57"/>
      <c r="H39" s="174">
        <v>500</v>
      </c>
      <c r="I39"/>
      <c r="J39" s="10">
        <f>1500+500</f>
        <v>2000</v>
      </c>
      <c r="K39" s="227">
        <v>500</v>
      </c>
      <c r="L39" s="10">
        <f t="shared" si="3"/>
        <v>2500</v>
      </c>
      <c r="M39" s="2" t="s">
        <v>205</v>
      </c>
      <c r="N39" s="147" t="s">
        <v>209</v>
      </c>
    </row>
    <row r="40" spans="1:14" ht="12.75">
      <c r="A40" s="18" t="s">
        <v>51</v>
      </c>
      <c r="B40" s="42"/>
      <c r="C40" s="143">
        <v>621</v>
      </c>
      <c r="D40" s="10">
        <v>2000</v>
      </c>
      <c r="E40" s="10">
        <v>8425</v>
      </c>
      <c r="F40" s="10">
        <f t="shared" si="2"/>
        <v>10425</v>
      </c>
      <c r="G40" s="57"/>
      <c r="H40" s="174">
        <v>4500</v>
      </c>
      <c r="I40"/>
      <c r="J40" s="10">
        <f>2000+4500</f>
        <v>6500</v>
      </c>
      <c r="K40" s="227">
        <v>3000</v>
      </c>
      <c r="L40" s="10">
        <f t="shared" si="3"/>
        <v>9500</v>
      </c>
      <c r="M40" s="2" t="s">
        <v>205</v>
      </c>
      <c r="N40" s="147" t="s">
        <v>209</v>
      </c>
    </row>
    <row r="41" spans="1:14" ht="12.75">
      <c r="A41" s="18" t="s">
        <v>52</v>
      </c>
      <c r="B41" s="42"/>
      <c r="C41" s="143">
        <v>89</v>
      </c>
      <c r="D41" s="10">
        <v>500</v>
      </c>
      <c r="E41" s="10">
        <v>600</v>
      </c>
      <c r="F41" s="10">
        <f t="shared" si="2"/>
        <v>1100</v>
      </c>
      <c r="G41" s="57"/>
      <c r="H41" s="174">
        <v>500</v>
      </c>
      <c r="I41"/>
      <c r="J41" s="10">
        <f>500+500</f>
        <v>1000</v>
      </c>
      <c r="K41" s="229"/>
      <c r="L41" s="10">
        <f t="shared" si="3"/>
        <v>1000</v>
      </c>
      <c r="M41" s="2" t="s">
        <v>205</v>
      </c>
      <c r="N41" s="147"/>
    </row>
    <row r="42" spans="1:14" ht="12.75">
      <c r="A42" s="9" t="s">
        <v>53</v>
      </c>
      <c r="B42" s="38"/>
      <c r="C42" s="143">
        <v>3766</v>
      </c>
      <c r="D42" s="10">
        <v>4000</v>
      </c>
      <c r="E42" s="10"/>
      <c r="F42" s="10">
        <f t="shared" si="2"/>
        <v>4000</v>
      </c>
      <c r="G42" s="57"/>
      <c r="H42" s="174"/>
      <c r="I42"/>
      <c r="J42" s="10">
        <v>4000</v>
      </c>
      <c r="K42" s="227">
        <v>800</v>
      </c>
      <c r="L42" s="10">
        <f t="shared" si="3"/>
        <v>4800</v>
      </c>
      <c r="M42" s="2" t="s">
        <v>205</v>
      </c>
      <c r="N42" s="147" t="s">
        <v>207</v>
      </c>
    </row>
    <row r="43" spans="1:14" ht="12.75">
      <c r="A43" s="11" t="s">
        <v>54</v>
      </c>
      <c r="B43" s="39"/>
      <c r="C43" s="143">
        <v>250</v>
      </c>
      <c r="D43" s="10">
        <v>250</v>
      </c>
      <c r="E43" s="10"/>
      <c r="F43" s="10">
        <f t="shared" si="2"/>
        <v>250</v>
      </c>
      <c r="G43" s="57"/>
      <c r="H43" s="174"/>
      <c r="I43"/>
      <c r="J43" s="10">
        <v>250</v>
      </c>
      <c r="K43" s="229"/>
      <c r="L43" s="10">
        <f t="shared" si="3"/>
        <v>250</v>
      </c>
      <c r="M43" s="2" t="s">
        <v>205</v>
      </c>
      <c r="N43" s="147"/>
    </row>
    <row r="44" spans="1:14" ht="12.75">
      <c r="A44" s="185" t="s">
        <v>161</v>
      </c>
      <c r="B44" s="39"/>
      <c r="C44" s="143">
        <v>116468</v>
      </c>
      <c r="D44" s="219">
        <v>22300</v>
      </c>
      <c r="E44" s="10">
        <f>10947+275+42500+26187+22300</f>
        <v>102209</v>
      </c>
      <c r="F44" s="10">
        <f t="shared" si="2"/>
        <v>124509</v>
      </c>
      <c r="G44" s="57"/>
      <c r="H44" s="174">
        <v>18500</v>
      </c>
      <c r="I44"/>
      <c r="J44" s="10">
        <f>3000+18500</f>
        <v>21500</v>
      </c>
      <c r="K44" s="227">
        <f>17380.85+34590.68</f>
        <v>51971.53</v>
      </c>
      <c r="L44" s="10">
        <f t="shared" si="3"/>
        <v>73471.53</v>
      </c>
      <c r="M44" s="2" t="s">
        <v>205</v>
      </c>
      <c r="N44" s="147" t="s">
        <v>212</v>
      </c>
    </row>
    <row r="45" spans="1:12" ht="12.75">
      <c r="A45" s="18" t="s">
        <v>126</v>
      </c>
      <c r="B45" s="42"/>
      <c r="C45" s="143">
        <v>892</v>
      </c>
      <c r="D45" s="10">
        <v>0</v>
      </c>
      <c r="E45" s="10"/>
      <c r="F45" s="10">
        <f t="shared" si="2"/>
        <v>0</v>
      </c>
      <c r="G45" s="57"/>
      <c r="H45" s="174"/>
      <c r="I45"/>
      <c r="J45" s="10">
        <v>0</v>
      </c>
      <c r="K45" s="229"/>
      <c r="L45" s="10">
        <f t="shared" si="3"/>
        <v>0</v>
      </c>
    </row>
    <row r="46" spans="1:12" ht="12.75">
      <c r="A46" s="18" t="s">
        <v>106</v>
      </c>
      <c r="B46" s="42"/>
      <c r="C46" s="143">
        <v>427</v>
      </c>
      <c r="D46" s="10">
        <v>0</v>
      </c>
      <c r="E46" s="10"/>
      <c r="F46" s="10">
        <f t="shared" si="2"/>
        <v>0</v>
      </c>
      <c r="G46" s="57"/>
      <c r="H46" s="174"/>
      <c r="I46"/>
      <c r="J46" s="10">
        <v>0</v>
      </c>
      <c r="K46" s="229"/>
      <c r="L46" s="10">
        <f t="shared" si="3"/>
        <v>0</v>
      </c>
    </row>
    <row r="47" spans="1:13" ht="12.75">
      <c r="A47" s="11" t="s">
        <v>131</v>
      </c>
      <c r="B47" s="39"/>
      <c r="C47" s="143">
        <v>0</v>
      </c>
      <c r="D47" s="10">
        <v>400</v>
      </c>
      <c r="E47" s="10"/>
      <c r="F47" s="10">
        <f t="shared" si="2"/>
        <v>400</v>
      </c>
      <c r="G47" s="57"/>
      <c r="H47" s="174"/>
      <c r="I47"/>
      <c r="J47" s="10">
        <v>400</v>
      </c>
      <c r="K47" s="229"/>
      <c r="L47" s="10">
        <f t="shared" si="3"/>
        <v>400</v>
      </c>
      <c r="M47" s="2" t="s">
        <v>205</v>
      </c>
    </row>
    <row r="48" spans="1:13" ht="12.75">
      <c r="A48" s="189" t="s">
        <v>118</v>
      </c>
      <c r="B48" s="39"/>
      <c r="C48" s="143">
        <v>8766</v>
      </c>
      <c r="D48" s="219">
        <v>8766</v>
      </c>
      <c r="E48" s="10"/>
      <c r="F48" s="10">
        <f t="shared" si="2"/>
        <v>8766</v>
      </c>
      <c r="G48" s="57"/>
      <c r="H48" s="174"/>
      <c r="I48"/>
      <c r="J48" s="10">
        <v>8766</v>
      </c>
      <c r="K48" s="229"/>
      <c r="L48" s="10">
        <f t="shared" si="3"/>
        <v>8766</v>
      </c>
      <c r="M48" s="2" t="s">
        <v>205</v>
      </c>
    </row>
    <row r="49" spans="1:13" ht="12.75">
      <c r="A49" s="9" t="s">
        <v>55</v>
      </c>
      <c r="B49" s="38"/>
      <c r="C49" s="143">
        <v>5000</v>
      </c>
      <c r="D49" s="10">
        <v>5062</v>
      </c>
      <c r="E49" s="10"/>
      <c r="F49" s="10">
        <f t="shared" si="2"/>
        <v>5062</v>
      </c>
      <c r="G49" s="57"/>
      <c r="H49" s="174">
        <v>1000</v>
      </c>
      <c r="I49"/>
      <c r="J49" s="10">
        <f>4062+1000</f>
        <v>5062</v>
      </c>
      <c r="K49" s="229"/>
      <c r="L49" s="10">
        <f t="shared" si="3"/>
        <v>5062</v>
      </c>
      <c r="M49" s="2" t="s">
        <v>206</v>
      </c>
    </row>
    <row r="50" spans="1:13" ht="12.75">
      <c r="A50" s="185" t="s">
        <v>56</v>
      </c>
      <c r="B50" s="39"/>
      <c r="C50" s="215">
        <v>40554</v>
      </c>
      <c r="D50" s="220">
        <v>40811</v>
      </c>
      <c r="E50" s="10"/>
      <c r="F50" s="10">
        <f t="shared" si="2"/>
        <v>40811</v>
      </c>
      <c r="G50" s="57"/>
      <c r="H50" s="175"/>
      <c r="I50"/>
      <c r="J50" s="169">
        <v>42681</v>
      </c>
      <c r="K50" s="169"/>
      <c r="L50" s="169">
        <f t="shared" si="3"/>
        <v>42681</v>
      </c>
      <c r="M50" s="2" t="s">
        <v>205</v>
      </c>
    </row>
    <row r="51" spans="1:13" ht="12.75">
      <c r="A51" s="9" t="s">
        <v>57</v>
      </c>
      <c r="B51" s="38"/>
      <c r="C51" s="215">
        <v>36105</v>
      </c>
      <c r="D51" s="220">
        <v>36824</v>
      </c>
      <c r="E51" s="10"/>
      <c r="F51" s="10">
        <f t="shared" si="2"/>
        <v>36824</v>
      </c>
      <c r="G51" s="57"/>
      <c r="H51" s="175"/>
      <c r="I51"/>
      <c r="J51" s="169">
        <v>38168</v>
      </c>
      <c r="K51" s="169"/>
      <c r="L51" s="169">
        <f t="shared" si="3"/>
        <v>38168</v>
      </c>
      <c r="M51" s="2" t="s">
        <v>205</v>
      </c>
    </row>
    <row r="52" spans="1:13" ht="12.75">
      <c r="A52" s="9" t="s">
        <v>58</v>
      </c>
      <c r="B52" s="38"/>
      <c r="C52" s="215">
        <v>15124</v>
      </c>
      <c r="D52" s="220">
        <v>13628</v>
      </c>
      <c r="E52" s="10"/>
      <c r="F52" s="10">
        <f t="shared" si="2"/>
        <v>13628</v>
      </c>
      <c r="G52" s="57"/>
      <c r="H52" s="175"/>
      <c r="I52"/>
      <c r="J52" s="169">
        <v>13125</v>
      </c>
      <c r="K52" s="169"/>
      <c r="L52" s="169">
        <f t="shared" si="3"/>
        <v>13125</v>
      </c>
      <c r="M52" s="2" t="s">
        <v>205</v>
      </c>
    </row>
    <row r="53" spans="1:12" ht="12.75">
      <c r="A53" s="9" t="s">
        <v>160</v>
      </c>
      <c r="B53" s="38"/>
      <c r="C53" s="143">
        <v>147</v>
      </c>
      <c r="D53" s="169">
        <v>0</v>
      </c>
      <c r="E53" s="10"/>
      <c r="F53" s="10">
        <f t="shared" si="2"/>
        <v>0</v>
      </c>
      <c r="G53" s="57"/>
      <c r="H53" s="175"/>
      <c r="I53"/>
      <c r="J53" s="169">
        <v>0</v>
      </c>
      <c r="K53" s="169"/>
      <c r="L53" s="169">
        <f t="shared" si="3"/>
        <v>0</v>
      </c>
    </row>
    <row r="54" spans="1:13" ht="12.75">
      <c r="A54" s="9" t="s">
        <v>59</v>
      </c>
      <c r="B54" s="38"/>
      <c r="C54" s="143">
        <v>0</v>
      </c>
      <c r="D54" s="10">
        <v>50</v>
      </c>
      <c r="E54" s="10"/>
      <c r="F54" s="10">
        <f t="shared" si="2"/>
        <v>50</v>
      </c>
      <c r="G54" s="57"/>
      <c r="H54" s="174"/>
      <c r="I54"/>
      <c r="J54" s="10">
        <v>50</v>
      </c>
      <c r="K54" s="10"/>
      <c r="L54" s="10">
        <f t="shared" si="3"/>
        <v>50</v>
      </c>
      <c r="M54" s="2" t="s">
        <v>205</v>
      </c>
    </row>
    <row r="55" spans="1:12" ht="12.75">
      <c r="A55" s="9" t="s">
        <v>60</v>
      </c>
      <c r="B55" s="38"/>
      <c r="C55" s="143">
        <v>0</v>
      </c>
      <c r="D55" s="10">
        <v>0</v>
      </c>
      <c r="E55" s="10"/>
      <c r="F55" s="10">
        <f t="shared" si="2"/>
        <v>0</v>
      </c>
      <c r="G55" s="57"/>
      <c r="H55" s="174"/>
      <c r="I55"/>
      <c r="J55" s="10">
        <v>0</v>
      </c>
      <c r="K55" s="10"/>
      <c r="L55" s="10">
        <f t="shared" si="3"/>
        <v>0</v>
      </c>
    </row>
    <row r="56" spans="1:12" ht="12.75">
      <c r="A56" s="199" t="s">
        <v>171</v>
      </c>
      <c r="B56" s="200"/>
      <c r="C56" s="221"/>
      <c r="D56" s="133"/>
      <c r="E56" s="133"/>
      <c r="F56" s="133">
        <f t="shared" si="2"/>
        <v>0</v>
      </c>
      <c r="G56" s="201"/>
      <c r="H56" s="202"/>
      <c r="I56" s="203"/>
      <c r="J56" s="133"/>
      <c r="K56" s="133"/>
      <c r="L56" s="133">
        <f t="shared" si="3"/>
        <v>0</v>
      </c>
    </row>
    <row r="57" spans="1:13" ht="13.5" thickBot="1">
      <c r="A57" s="5" t="s">
        <v>164</v>
      </c>
      <c r="B57" s="33"/>
      <c r="C57" s="222">
        <v>0</v>
      </c>
      <c r="D57" s="32">
        <v>300</v>
      </c>
      <c r="E57" s="32"/>
      <c r="F57" s="32">
        <f t="shared" si="2"/>
        <v>300</v>
      </c>
      <c r="G57" s="57"/>
      <c r="H57" s="176"/>
      <c r="I57"/>
      <c r="J57" s="32">
        <v>300</v>
      </c>
      <c r="K57" s="32"/>
      <c r="L57" s="32">
        <f t="shared" si="3"/>
        <v>300</v>
      </c>
      <c r="M57" s="2" t="s">
        <v>205</v>
      </c>
    </row>
    <row r="58" spans="1:12" ht="14.25" thickBot="1" thickTop="1">
      <c r="A58" s="19" t="s">
        <v>61</v>
      </c>
      <c r="B58" s="35"/>
      <c r="C58" s="216">
        <f>SUM(C23:C57)</f>
        <v>337773</v>
      </c>
      <c r="D58" s="13">
        <f>SUM(D23:D57)</f>
        <v>257503</v>
      </c>
      <c r="E58" s="13">
        <f>SUM(E23:E57)</f>
        <v>141559</v>
      </c>
      <c r="F58" s="13">
        <f>SUM(F23:F57)</f>
        <v>399062</v>
      </c>
      <c r="G58" s="196"/>
      <c r="H58" s="177">
        <f>SUM(H23:H57)</f>
        <v>25000</v>
      </c>
      <c r="I58"/>
      <c r="J58" s="13">
        <f>SUM(J23:J57)</f>
        <v>263204.66000000003</v>
      </c>
      <c r="K58" s="13">
        <f>SUM(K23:K57)</f>
        <v>56771.53</v>
      </c>
      <c r="L58" s="13">
        <f>SUM(L23:L57)</f>
        <v>319976.19</v>
      </c>
    </row>
    <row r="59" spans="1:12" ht="14.25" thickBot="1" thickTop="1">
      <c r="A59" s="14" t="s">
        <v>62</v>
      </c>
      <c r="B59" s="14"/>
      <c r="C59" s="181"/>
      <c r="D59" s="217"/>
      <c r="E59"/>
      <c r="F59"/>
      <c r="G59"/>
      <c r="H59"/>
      <c r="I59"/>
      <c r="J59" s="217"/>
      <c r="K59" s="217"/>
      <c r="L59" s="217"/>
    </row>
    <row r="60" spans="1:14" ht="13.5" thickTop="1">
      <c r="A60" s="20" t="s">
        <v>63</v>
      </c>
      <c r="B60" s="43"/>
      <c r="C60" s="218">
        <v>146605</v>
      </c>
      <c r="D60" s="17">
        <v>178398</v>
      </c>
      <c r="E60" s="17">
        <f>65158+22277+1798+35</f>
        <v>89268</v>
      </c>
      <c r="F60" s="17">
        <f>D60+E60</f>
        <v>267666</v>
      </c>
      <c r="G60" s="57"/>
      <c r="H60" s="163"/>
      <c r="I60"/>
      <c r="J60" s="17">
        <f>+J8</f>
        <v>180701</v>
      </c>
      <c r="K60" s="17">
        <f>93385.63+900+5892.12+3040.6+16652.92+1749.19</f>
        <v>121620.46</v>
      </c>
      <c r="L60" s="17">
        <f>J60+K60</f>
        <v>302321.46</v>
      </c>
      <c r="M60" s="2" t="s">
        <v>202</v>
      </c>
      <c r="N60" s="2" t="s">
        <v>209</v>
      </c>
    </row>
    <row r="61" spans="1:13" ht="12.75">
      <c r="A61" s="131" t="s">
        <v>129</v>
      </c>
      <c r="B61" s="132"/>
      <c r="C61" s="221">
        <v>148178</v>
      </c>
      <c r="D61" s="133">
        <v>141421</v>
      </c>
      <c r="E61" s="133"/>
      <c r="F61" s="133">
        <f>D61+E61</f>
        <v>141421</v>
      </c>
      <c r="G61" s="57"/>
      <c r="H61" s="165"/>
      <c r="I61"/>
      <c r="J61" s="133">
        <f>J9</f>
        <v>144562</v>
      </c>
      <c r="K61" s="133"/>
      <c r="L61" s="133">
        <f aca="true" t="shared" si="4" ref="L61:L74">J61+K61</f>
        <v>144562</v>
      </c>
      <c r="M61" s="2" t="s">
        <v>203</v>
      </c>
    </row>
    <row r="62" spans="1:12" ht="12.75">
      <c r="A62" s="18" t="s">
        <v>33</v>
      </c>
      <c r="B62" s="42"/>
      <c r="C62" s="143">
        <v>12334</v>
      </c>
      <c r="D62" s="10">
        <v>0</v>
      </c>
      <c r="E62" s="10"/>
      <c r="F62" s="10"/>
      <c r="G62" s="57"/>
      <c r="H62" s="10"/>
      <c r="I62"/>
      <c r="J62" s="10">
        <f>J10</f>
        <v>0</v>
      </c>
      <c r="K62" s="10"/>
      <c r="L62" s="10">
        <f t="shared" si="4"/>
        <v>0</v>
      </c>
    </row>
    <row r="63" spans="1:14" ht="12.75">
      <c r="A63" s="18" t="s">
        <v>132</v>
      </c>
      <c r="B63" s="42"/>
      <c r="C63" s="143">
        <v>18842</v>
      </c>
      <c r="D63" s="10" t="s">
        <v>175</v>
      </c>
      <c r="E63" s="10">
        <f>6161+152+13</f>
        <v>6326</v>
      </c>
      <c r="F63" s="178">
        <f>E63</f>
        <v>6326</v>
      </c>
      <c r="G63" s="57"/>
      <c r="H63" s="10"/>
      <c r="I63"/>
      <c r="J63" s="10">
        <v>0</v>
      </c>
      <c r="K63" s="178">
        <f>32145.21+13.33</f>
        <v>32158.54</v>
      </c>
      <c r="L63" s="178">
        <f t="shared" si="4"/>
        <v>32158.54</v>
      </c>
      <c r="N63" s="147" t="s">
        <v>213</v>
      </c>
    </row>
    <row r="64" spans="1:14" ht="12.75">
      <c r="A64" s="18" t="s">
        <v>98</v>
      </c>
      <c r="B64" s="42"/>
      <c r="C64" s="143">
        <v>13130</v>
      </c>
      <c r="D64" s="10" t="s">
        <v>176</v>
      </c>
      <c r="E64" s="10">
        <f>49300+65042+56394+2283</f>
        <v>173019</v>
      </c>
      <c r="F64" s="178">
        <f>E64</f>
        <v>173019</v>
      </c>
      <c r="G64" s="57"/>
      <c r="H64" s="10"/>
      <c r="I64"/>
      <c r="J64" s="10">
        <v>0.4</v>
      </c>
      <c r="K64" s="178">
        <f>29924.26+67199.73+57075.93+2395.01</f>
        <v>156594.93</v>
      </c>
      <c r="L64" s="178">
        <f t="shared" si="4"/>
        <v>156595.33</v>
      </c>
      <c r="N64" s="147" t="s">
        <v>213</v>
      </c>
    </row>
    <row r="65" spans="1:12" ht="12.75">
      <c r="A65" s="9" t="s">
        <v>105</v>
      </c>
      <c r="B65" s="38"/>
      <c r="C65" s="143">
        <v>0</v>
      </c>
      <c r="D65" s="10"/>
      <c r="E65" s="10"/>
      <c r="F65" s="10"/>
      <c r="G65" s="57"/>
      <c r="H65" s="10"/>
      <c r="I65"/>
      <c r="J65" s="10">
        <v>0</v>
      </c>
      <c r="K65" s="10"/>
      <c r="L65" s="10">
        <f t="shared" si="4"/>
        <v>0</v>
      </c>
    </row>
    <row r="66" spans="1:12" ht="12.75">
      <c r="A66" s="11" t="s">
        <v>161</v>
      </c>
      <c r="B66" s="38"/>
      <c r="C66" s="143">
        <v>0</v>
      </c>
      <c r="D66" s="10">
        <v>9000</v>
      </c>
      <c r="E66" s="10"/>
      <c r="F66" s="10">
        <f>D66+E66</f>
        <v>9000</v>
      </c>
      <c r="G66" s="57"/>
      <c r="H66" s="10"/>
      <c r="I66"/>
      <c r="J66" s="10">
        <v>0</v>
      </c>
      <c r="K66" s="10"/>
      <c r="L66" s="10">
        <f t="shared" si="4"/>
        <v>0</v>
      </c>
    </row>
    <row r="67" spans="1:12" ht="12.75">
      <c r="A67" s="157" t="s">
        <v>69</v>
      </c>
      <c r="B67" s="38"/>
      <c r="C67" s="143"/>
      <c r="D67" s="10"/>
      <c r="E67" s="10"/>
      <c r="F67" s="10"/>
      <c r="G67" s="57"/>
      <c r="H67" s="10"/>
      <c r="I67"/>
      <c r="J67" s="10">
        <v>0</v>
      </c>
      <c r="K67" s="10"/>
      <c r="L67" s="10">
        <f t="shared" si="4"/>
        <v>0</v>
      </c>
    </row>
    <row r="68" spans="1:14" ht="12.75">
      <c r="A68" s="157" t="s">
        <v>127</v>
      </c>
      <c r="B68" s="38"/>
      <c r="C68" s="215">
        <v>4710</v>
      </c>
      <c r="D68" s="10">
        <v>2200</v>
      </c>
      <c r="E68" s="10"/>
      <c r="F68" s="10">
        <f>D68+E68</f>
        <v>2200</v>
      </c>
      <c r="G68" s="57"/>
      <c r="H68" s="178"/>
      <c r="I68"/>
      <c r="J68" s="10">
        <v>2000</v>
      </c>
      <c r="K68" s="10">
        <v>102</v>
      </c>
      <c r="L68" s="10">
        <f t="shared" si="4"/>
        <v>2102</v>
      </c>
      <c r="M68" s="2" t="s">
        <v>204</v>
      </c>
      <c r="N68" s="2" t="s">
        <v>209</v>
      </c>
    </row>
    <row r="69" spans="1:13" ht="12.75">
      <c r="A69" s="11" t="s">
        <v>161</v>
      </c>
      <c r="B69" s="38"/>
      <c r="C69" s="143">
        <v>0</v>
      </c>
      <c r="D69" s="10"/>
      <c r="E69" s="214"/>
      <c r="F69" s="214"/>
      <c r="G69" s="195"/>
      <c r="H69" s="166"/>
      <c r="I69"/>
      <c r="J69" s="10">
        <v>13666</v>
      </c>
      <c r="K69" s="10"/>
      <c r="L69" s="10">
        <f t="shared" si="4"/>
        <v>13666</v>
      </c>
      <c r="M69" s="2" t="s">
        <v>204</v>
      </c>
    </row>
    <row r="70" spans="1:14" ht="12.75">
      <c r="A70" s="157" t="s">
        <v>170</v>
      </c>
      <c r="B70" s="38"/>
      <c r="C70" s="143">
        <v>0</v>
      </c>
      <c r="D70" s="10"/>
      <c r="E70" s="214"/>
      <c r="F70" s="214"/>
      <c r="G70" s="195"/>
      <c r="H70" s="166"/>
      <c r="I70"/>
      <c r="J70" s="10"/>
      <c r="K70" s="10"/>
      <c r="L70" s="10">
        <f t="shared" si="4"/>
        <v>0</v>
      </c>
      <c r="N70" s="147"/>
    </row>
    <row r="71" spans="1:14" ht="12.75">
      <c r="A71" s="158" t="s">
        <v>64</v>
      </c>
      <c r="B71" s="42"/>
      <c r="C71" s="215">
        <v>37793</v>
      </c>
      <c r="D71" s="10">
        <v>35966</v>
      </c>
      <c r="E71" s="10">
        <f>1500</f>
        <v>1500</v>
      </c>
      <c r="F71" s="10">
        <f>D71+E71</f>
        <v>37466</v>
      </c>
      <c r="G71" s="195"/>
      <c r="H71" s="166"/>
      <c r="I71"/>
      <c r="J71" s="10">
        <v>36000</v>
      </c>
      <c r="K71" s="10">
        <v>1000</v>
      </c>
      <c r="L71" s="10">
        <f t="shared" si="4"/>
        <v>37000</v>
      </c>
      <c r="M71" s="2" t="s">
        <v>204</v>
      </c>
      <c r="N71" s="147" t="s">
        <v>207</v>
      </c>
    </row>
    <row r="72" spans="1:14" ht="12.75">
      <c r="A72" s="159" t="s">
        <v>107</v>
      </c>
      <c r="B72" s="38"/>
      <c r="C72" s="215">
        <v>14714</v>
      </c>
      <c r="D72" s="10">
        <v>17166</v>
      </c>
      <c r="E72" s="10">
        <f>851+1428+503</f>
        <v>2782</v>
      </c>
      <c r="F72" s="10">
        <f>D72+E72</f>
        <v>19948</v>
      </c>
      <c r="G72" s="195"/>
      <c r="H72" s="166"/>
      <c r="I72"/>
      <c r="J72" s="10">
        <v>10000</v>
      </c>
      <c r="K72" s="10">
        <f>1000+2745.11+7012.72</f>
        <v>10757.83</v>
      </c>
      <c r="L72" s="10">
        <f t="shared" si="4"/>
        <v>20757.83</v>
      </c>
      <c r="M72" s="2" t="s">
        <v>204</v>
      </c>
      <c r="N72" s="2" t="s">
        <v>212</v>
      </c>
    </row>
    <row r="73" spans="1:12" ht="12.75">
      <c r="A73" s="11" t="s">
        <v>154</v>
      </c>
      <c r="B73" s="38"/>
      <c r="C73" s="143">
        <v>1243</v>
      </c>
      <c r="D73" s="10"/>
      <c r="E73" s="214"/>
      <c r="F73" s="214"/>
      <c r="G73" s="195"/>
      <c r="H73" s="10"/>
      <c r="I73"/>
      <c r="J73" s="10"/>
      <c r="K73" s="10"/>
      <c r="L73" s="10">
        <f t="shared" si="4"/>
        <v>0</v>
      </c>
    </row>
    <row r="74" spans="1:12" ht="13.5" thickBot="1">
      <c r="A74" s="9" t="s">
        <v>118</v>
      </c>
      <c r="B74" s="38"/>
      <c r="C74" s="143">
        <v>0</v>
      </c>
      <c r="D74" s="10">
        <v>0</v>
      </c>
      <c r="E74" s="214"/>
      <c r="F74" s="214"/>
      <c r="G74" s="195"/>
      <c r="H74" s="10"/>
      <c r="I74"/>
      <c r="J74" s="10">
        <v>0</v>
      </c>
      <c r="K74" s="10"/>
      <c r="L74" s="10">
        <f t="shared" si="4"/>
        <v>0</v>
      </c>
    </row>
    <row r="75" spans="1:12" ht="14.25" thickBot="1" thickTop="1">
      <c r="A75" s="22" t="s">
        <v>65</v>
      </c>
      <c r="B75" s="44"/>
      <c r="C75" s="223">
        <f>SUM(C60:C74)</f>
        <v>397549</v>
      </c>
      <c r="D75" s="23">
        <f>SUM(D60:D74)</f>
        <v>384151</v>
      </c>
      <c r="E75" s="23">
        <f>SUM(E60:E74)</f>
        <v>272895</v>
      </c>
      <c r="F75" s="23">
        <f>SUM(F60:F74)</f>
        <v>657046</v>
      </c>
      <c r="G75" s="57"/>
      <c r="H75" s="23">
        <f>SUM(H60:H74)</f>
        <v>0</v>
      </c>
      <c r="I75"/>
      <c r="J75" s="23">
        <f>SUM(J60:J74)</f>
        <v>386929.4</v>
      </c>
      <c r="K75" s="23">
        <f>SUM(K60:K74)</f>
        <v>322233.76</v>
      </c>
      <c r="L75" s="23">
        <f>SUM(L60:L74)</f>
        <v>709163.1599999999</v>
      </c>
    </row>
    <row r="76" spans="1:12" ht="13.5" thickBot="1">
      <c r="A76" s="24" t="s">
        <v>66</v>
      </c>
      <c r="B76" s="45"/>
      <c r="C76" s="224">
        <f>+C58+C75</f>
        <v>735322</v>
      </c>
      <c r="D76" s="25">
        <f>+D58+D75</f>
        <v>641654</v>
      </c>
      <c r="E76" s="25">
        <f>+E58+E75</f>
        <v>414454</v>
      </c>
      <c r="F76" s="25">
        <f>+F58+F75</f>
        <v>1056108</v>
      </c>
      <c r="G76" s="196"/>
      <c r="H76" s="191">
        <f>+H58+H75</f>
        <v>25000</v>
      </c>
      <c r="I76" s="192"/>
      <c r="J76" s="25">
        <f>+J58+J75</f>
        <v>650134.06</v>
      </c>
      <c r="K76" s="25">
        <f>+K58+K75</f>
        <v>379005.29000000004</v>
      </c>
      <c r="L76" s="25">
        <f>+L58+L75</f>
        <v>1029139.3499999999</v>
      </c>
    </row>
    <row r="77" spans="1:12" ht="14.25" thickBot="1" thickTop="1">
      <c r="A77" s="12" t="s">
        <v>67</v>
      </c>
      <c r="B77" s="40"/>
      <c r="C77" s="216">
        <f>+C21-C76</f>
        <v>298917</v>
      </c>
      <c r="D77" s="13">
        <f>+D21-D76</f>
        <v>0</v>
      </c>
      <c r="E77" s="13">
        <f>+E21-E76</f>
        <v>0</v>
      </c>
      <c r="F77" s="13">
        <f>+F21-F76</f>
        <v>0</v>
      </c>
      <c r="G77" s="57"/>
      <c r="H77" s="188">
        <f>+H21-H76</f>
        <v>0</v>
      </c>
      <c r="I77"/>
      <c r="J77" s="228">
        <f>+J21-J76</f>
        <v>0.9399999999441206</v>
      </c>
      <c r="K77" s="228">
        <f>+K21-K76</f>
        <v>0.01999999990221113</v>
      </c>
      <c r="L77" s="228">
        <f>+L21-L76</f>
        <v>0.9600000000791624</v>
      </c>
    </row>
    <row r="78" spans="1:10" ht="13.5" thickTop="1">
      <c r="A78" s="33"/>
      <c r="B78" s="33"/>
      <c r="C78" s="145"/>
      <c r="D78" s="57"/>
      <c r="E78" s="57"/>
      <c r="F78" s="57"/>
      <c r="G78" s="57"/>
      <c r="H78" s="57"/>
      <c r="I78"/>
      <c r="J78" s="57"/>
    </row>
    <row r="79" spans="1:9" ht="12.75">
      <c r="A79" s="14" t="s">
        <v>119</v>
      </c>
      <c r="B79" s="14"/>
      <c r="C79" s="146"/>
      <c r="D79" s="21"/>
      <c r="E79" s="21"/>
      <c r="F79" s="21"/>
      <c r="G79" s="21"/>
      <c r="H79" s="21"/>
      <c r="I79"/>
    </row>
    <row r="80" spans="1:9" ht="12.75">
      <c r="A80" s="14" t="s">
        <v>120</v>
      </c>
      <c r="B80" s="14"/>
      <c r="C80" s="146"/>
      <c r="D80" s="21"/>
      <c r="E80" s="21"/>
      <c r="F80" s="21"/>
      <c r="G80" s="21"/>
      <c r="H80" s="21"/>
      <c r="I80"/>
    </row>
    <row r="81" ht="12.75">
      <c r="A81" s="110" t="s">
        <v>133</v>
      </c>
    </row>
    <row r="82" ht="12.75"/>
    <row r="83" spans="1:14" ht="12.75">
      <c r="A83" s="2" t="s">
        <v>149</v>
      </c>
      <c r="N83" s="92" t="s">
        <v>93</v>
      </c>
    </row>
    <row r="84" spans="10:14" ht="12.75">
      <c r="J84" s="2" t="s">
        <v>196</v>
      </c>
      <c r="K84" s="92" t="s">
        <v>197</v>
      </c>
      <c r="L84" s="232" t="s">
        <v>199</v>
      </c>
      <c r="N84" s="92" t="s">
        <v>199</v>
      </c>
    </row>
    <row r="85" spans="8:14" ht="12.75">
      <c r="H85" s="92" t="s">
        <v>168</v>
      </c>
      <c r="J85" s="2" t="s">
        <v>197</v>
      </c>
      <c r="K85" s="92" t="s">
        <v>198</v>
      </c>
      <c r="L85" s="232" t="s">
        <v>200</v>
      </c>
      <c r="N85" s="92" t="s">
        <v>201</v>
      </c>
    </row>
    <row r="86" spans="1:14" ht="12.75">
      <c r="A86" s="18" t="s">
        <v>136</v>
      </c>
      <c r="B86" s="38"/>
      <c r="C86" s="143"/>
      <c r="D86" s="10"/>
      <c r="E86" s="10"/>
      <c r="F86" s="57"/>
      <c r="G86" s="57"/>
      <c r="H86" s="57">
        <f>'[2]CALC718'!$L13</f>
        <v>9998</v>
      </c>
      <c r="I86"/>
      <c r="J86" s="186">
        <f>H86*0.75</f>
        <v>7498.5</v>
      </c>
      <c r="K86" s="186">
        <v>2253.33</v>
      </c>
      <c r="L86" s="186">
        <v>9848.76</v>
      </c>
      <c r="N86" s="186">
        <f>SUM(J86:L86)</f>
        <v>19600.59</v>
      </c>
    </row>
    <row r="87" spans="1:14" ht="12.75">
      <c r="A87" s="18" t="s">
        <v>137</v>
      </c>
      <c r="B87" s="38"/>
      <c r="C87" s="143"/>
      <c r="D87" s="10"/>
      <c r="E87" s="10"/>
      <c r="F87" s="57"/>
      <c r="G87" s="57"/>
      <c r="H87" s="57">
        <f>'[2]CALC718'!$L15</f>
        <v>11935</v>
      </c>
      <c r="I87"/>
      <c r="J87" s="186">
        <f aca="true" t="shared" si="5" ref="J87:J98">H87*0.75</f>
        <v>8951.25</v>
      </c>
      <c r="K87" s="186">
        <v>2577.17</v>
      </c>
      <c r="L87" s="186">
        <v>5280.31</v>
      </c>
      <c r="N87" s="186">
        <f aca="true" t="shared" si="6" ref="N87:N98">SUM(J87:L87)</f>
        <v>16808.73</v>
      </c>
    </row>
    <row r="88" spans="1:14" ht="12.75">
      <c r="A88" s="18" t="s">
        <v>138</v>
      </c>
      <c r="B88" s="38"/>
      <c r="C88" s="143"/>
      <c r="D88" s="10"/>
      <c r="E88" s="10"/>
      <c r="F88" s="57"/>
      <c r="G88" s="57"/>
      <c r="H88" s="57">
        <f>'[2]CALC718'!$L17</f>
        <v>5902</v>
      </c>
      <c r="I88"/>
      <c r="J88" s="186">
        <f t="shared" si="5"/>
        <v>4426.5</v>
      </c>
      <c r="K88" s="186">
        <v>1415.25</v>
      </c>
      <c r="L88" s="186">
        <v>5903</v>
      </c>
      <c r="N88" s="186">
        <f t="shared" si="6"/>
        <v>11744.75</v>
      </c>
    </row>
    <row r="89" spans="1:14" ht="12.75">
      <c r="A89" s="18" t="s">
        <v>139</v>
      </c>
      <c r="B89" s="38"/>
      <c r="C89" s="143"/>
      <c r="D89" s="10"/>
      <c r="E89" s="10"/>
      <c r="F89" s="57"/>
      <c r="G89" s="57"/>
      <c r="H89" s="57">
        <f>'[2]CALC718'!$L19</f>
        <v>7983</v>
      </c>
      <c r="I89"/>
      <c r="J89" s="186">
        <f t="shared" si="5"/>
        <v>5987.25</v>
      </c>
      <c r="K89" s="186">
        <v>2807.29</v>
      </c>
      <c r="L89" s="186">
        <v>4182.13</v>
      </c>
      <c r="N89" s="186">
        <f t="shared" si="6"/>
        <v>12976.670000000002</v>
      </c>
    </row>
    <row r="90" spans="1:14" ht="12.75">
      <c r="A90" s="18" t="s">
        <v>140</v>
      </c>
      <c r="B90" s="38"/>
      <c r="C90" s="143"/>
      <c r="D90" s="10"/>
      <c r="E90" s="10"/>
      <c r="F90" s="57"/>
      <c r="G90" s="57"/>
      <c r="H90" s="57">
        <f>'[2]CALC718'!$L21</f>
        <v>26330</v>
      </c>
      <c r="I90"/>
      <c r="J90" s="186">
        <f t="shared" si="5"/>
        <v>19747.5</v>
      </c>
      <c r="K90" s="186">
        <v>7634.38</v>
      </c>
      <c r="L90" s="186">
        <v>10304.23</v>
      </c>
      <c r="N90" s="186">
        <f t="shared" si="6"/>
        <v>37686.11</v>
      </c>
    </row>
    <row r="91" spans="1:14" ht="12.75">
      <c r="A91" s="18" t="s">
        <v>141</v>
      </c>
      <c r="B91" s="38"/>
      <c r="C91" s="143"/>
      <c r="D91" s="10"/>
      <c r="E91" s="10"/>
      <c r="F91" s="57"/>
      <c r="G91" s="57"/>
      <c r="H91" s="57">
        <f>'[2]CALC718'!$L23</f>
        <v>7106</v>
      </c>
      <c r="I91"/>
      <c r="J91" s="186">
        <f t="shared" si="5"/>
        <v>5329.5</v>
      </c>
      <c r="K91" s="186">
        <v>1442.66</v>
      </c>
      <c r="L91" s="186">
        <v>6995.7</v>
      </c>
      <c r="N91" s="186">
        <f t="shared" si="6"/>
        <v>13767.86</v>
      </c>
    </row>
    <row r="92" spans="1:14" ht="12.75">
      <c r="A92" s="18" t="s">
        <v>142</v>
      </c>
      <c r="B92" s="38"/>
      <c r="C92" s="143"/>
      <c r="D92" s="10"/>
      <c r="E92" s="10"/>
      <c r="F92" s="57"/>
      <c r="G92" s="57"/>
      <c r="H92" s="57">
        <f>'[2]CALC718'!$L25</f>
        <v>15167</v>
      </c>
      <c r="I92"/>
      <c r="J92" s="186">
        <f t="shared" si="5"/>
        <v>11375.25</v>
      </c>
      <c r="K92" s="186">
        <v>3394.79</v>
      </c>
      <c r="L92" s="186">
        <v>15167</v>
      </c>
      <c r="N92" s="186">
        <f t="shared" si="6"/>
        <v>29937.04</v>
      </c>
    </row>
    <row r="93" spans="1:14" ht="12.75">
      <c r="A93" s="18" t="s">
        <v>143</v>
      </c>
      <c r="B93" s="38"/>
      <c r="C93" s="143"/>
      <c r="D93" s="10"/>
      <c r="E93" s="10"/>
      <c r="F93" s="57"/>
      <c r="G93" s="57"/>
      <c r="H93" s="57">
        <f>'[2]CALC718'!$L27</f>
        <v>26474</v>
      </c>
      <c r="I93"/>
      <c r="J93" s="186">
        <f t="shared" si="5"/>
        <v>19855.5</v>
      </c>
      <c r="K93" s="186">
        <v>7716.11</v>
      </c>
      <c r="L93" s="186">
        <v>0</v>
      </c>
      <c r="N93" s="186">
        <f t="shared" si="6"/>
        <v>27571.61</v>
      </c>
    </row>
    <row r="94" spans="1:14" ht="12.75">
      <c r="A94" s="18" t="s">
        <v>144</v>
      </c>
      <c r="B94" s="38"/>
      <c r="C94" s="143"/>
      <c r="D94" s="10"/>
      <c r="E94" s="10"/>
      <c r="F94" s="57"/>
      <c r="G94" s="57"/>
      <c r="H94" s="57">
        <f>'[2]CALC718'!$L29</f>
        <v>10103</v>
      </c>
      <c r="I94"/>
      <c r="J94" s="186">
        <f t="shared" si="5"/>
        <v>7577.25</v>
      </c>
      <c r="K94" s="186">
        <v>2965.85</v>
      </c>
      <c r="L94" s="186">
        <v>7039.8</v>
      </c>
      <c r="N94" s="186">
        <f t="shared" si="6"/>
        <v>17582.9</v>
      </c>
    </row>
    <row r="95" spans="1:14" ht="12.75">
      <c r="A95" s="18" t="s">
        <v>145</v>
      </c>
      <c r="B95" s="38"/>
      <c r="C95" s="143"/>
      <c r="D95" s="10"/>
      <c r="E95" s="10"/>
      <c r="F95" s="57"/>
      <c r="G95" s="57"/>
      <c r="H95" s="57">
        <f>'[2]CALC718'!$L31</f>
        <v>26527</v>
      </c>
      <c r="I95"/>
      <c r="J95" s="186">
        <f t="shared" si="5"/>
        <v>19895.25</v>
      </c>
      <c r="K95" s="186">
        <v>6297.57</v>
      </c>
      <c r="L95" s="186">
        <v>17124.29</v>
      </c>
      <c r="N95" s="186">
        <f t="shared" si="6"/>
        <v>43317.11</v>
      </c>
    </row>
    <row r="96" spans="1:14" ht="12.75">
      <c r="A96" s="18" t="s">
        <v>146</v>
      </c>
      <c r="B96" s="38"/>
      <c r="C96" s="143"/>
      <c r="D96" s="10"/>
      <c r="E96" s="10"/>
      <c r="F96" s="57"/>
      <c r="G96" s="57"/>
      <c r="H96" s="57">
        <f>'[2]CALC718'!$L33</f>
        <v>5287</v>
      </c>
      <c r="I96"/>
      <c r="J96" s="186">
        <f t="shared" si="5"/>
        <v>3965.25</v>
      </c>
      <c r="K96" s="186">
        <v>1420.57</v>
      </c>
      <c r="L96" s="186">
        <v>0</v>
      </c>
      <c r="N96" s="186">
        <f t="shared" si="6"/>
        <v>5385.82</v>
      </c>
    </row>
    <row r="97" spans="1:14" ht="12.75">
      <c r="A97" s="18" t="s">
        <v>147</v>
      </c>
      <c r="B97" s="38"/>
      <c r="C97" s="143"/>
      <c r="D97" s="10"/>
      <c r="E97" s="10"/>
      <c r="F97" s="57"/>
      <c r="G97" s="57"/>
      <c r="H97" s="57">
        <f>'[2]CALC718'!$L35</f>
        <v>6936</v>
      </c>
      <c r="I97"/>
      <c r="J97" s="186">
        <f t="shared" si="5"/>
        <v>5202</v>
      </c>
      <c r="K97" s="186">
        <v>2005.69</v>
      </c>
      <c r="L97" s="186">
        <v>4036</v>
      </c>
      <c r="N97" s="186">
        <f t="shared" si="6"/>
        <v>11243.69</v>
      </c>
    </row>
    <row r="98" spans="1:14" ht="12.75">
      <c r="A98" s="18" t="s">
        <v>148</v>
      </c>
      <c r="B98" s="38"/>
      <c r="C98" s="143"/>
      <c r="D98" s="10"/>
      <c r="E98" s="10"/>
      <c r="F98" s="57"/>
      <c r="G98" s="57"/>
      <c r="H98" s="57">
        <f>'[2]CALC718'!$L37</f>
        <v>18649</v>
      </c>
      <c r="I98"/>
      <c r="J98" s="186">
        <f t="shared" si="5"/>
        <v>13986.75</v>
      </c>
      <c r="K98" s="186">
        <v>4972.59</v>
      </c>
      <c r="L98" s="186">
        <v>7504.41</v>
      </c>
      <c r="N98" s="186">
        <f t="shared" si="6"/>
        <v>26463.75</v>
      </c>
    </row>
    <row r="99" spans="1:14" ht="12.75">
      <c r="A99" s="150" t="s">
        <v>150</v>
      </c>
      <c r="B99" s="149"/>
      <c r="J99" s="187">
        <f>SUM(J86:J98)</f>
        <v>133797.75</v>
      </c>
      <c r="K99" s="187">
        <f>SUM(K86:K98)</f>
        <v>46903.25</v>
      </c>
      <c r="L99" s="187">
        <f>SUM(L86:L98)</f>
        <v>93385.63</v>
      </c>
      <c r="N99" s="187">
        <f>SUM(N86:N98)</f>
        <v>274086.63</v>
      </c>
    </row>
    <row r="101" ht="12.75">
      <c r="K101" s="233">
        <f>J99+K99</f>
        <v>180701</v>
      </c>
    </row>
  </sheetData>
  <sheetProtection/>
  <mergeCells count="1">
    <mergeCell ref="O21:O22"/>
  </mergeCells>
  <printOptions horizontalCentered="1"/>
  <pageMargins left="0.25" right="0.25" top="0.75" bottom="0.75" header="0.3" footer="0.3"/>
  <pageSetup fitToHeight="0" fitToWidth="1" orientation="portrait" r:id="rId3"/>
  <headerFooter alignWithMargins="0">
    <oddHeader>&amp;R&amp;12ATTACHMENT A</oddHeader>
    <oddFooter>&amp;LASUCLA Student Support Services -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79"/>
  <sheetViews>
    <sheetView showGridLines="0" zoomScalePageLayoutView="0" workbookViewId="0" topLeftCell="A7">
      <selection activeCell="B10" sqref="B10"/>
    </sheetView>
  </sheetViews>
  <sheetFormatPr defaultColWidth="11.00390625" defaultRowHeight="12.75"/>
  <cols>
    <col min="1" max="1" width="47.8515625" style="60" customWidth="1"/>
    <col min="2" max="2" width="11.00390625" style="60" customWidth="1"/>
    <col min="3" max="3" width="1.8515625" style="60" customWidth="1"/>
    <col min="4" max="4" width="11.00390625" style="60" customWidth="1"/>
    <col min="5" max="5" width="10.8515625" style="60" customWidth="1"/>
    <col min="6" max="6" width="11.00390625" style="60" customWidth="1"/>
    <col min="7" max="7" width="1.8515625" style="60" customWidth="1"/>
    <col min="8" max="8" width="5.28125" style="60" customWidth="1"/>
    <col min="9" max="9" width="1.8515625" style="60" customWidth="1"/>
    <col min="10" max="10" width="4.140625" style="60" customWidth="1"/>
    <col min="11" max="11" width="9.8515625" style="60" customWidth="1"/>
    <col min="12" max="12" width="4.140625" style="60" customWidth="1"/>
    <col min="13" max="13" width="12.140625" style="60" customWidth="1"/>
    <col min="14" max="14" width="4.140625" style="60" customWidth="1"/>
    <col min="15" max="19" width="11.00390625" style="60" customWidth="1"/>
    <col min="20" max="20" width="1.8515625" style="60" customWidth="1"/>
    <col min="21" max="21" width="11.00390625" style="60" customWidth="1"/>
    <col min="22" max="22" width="1.8515625" style="60" customWidth="1"/>
    <col min="23" max="23" width="8.7109375" style="60" customWidth="1"/>
    <col min="24" max="24" width="1.8515625" style="60" customWidth="1"/>
    <col min="25" max="25" width="5.28125" style="60" customWidth="1"/>
    <col min="26" max="26" width="1.8515625" style="60" customWidth="1"/>
    <col min="27" max="27" width="4.140625" style="60" customWidth="1"/>
    <col min="28" max="28" width="9.8515625" style="60" customWidth="1"/>
    <col min="29" max="16384" width="11.00390625" style="60" customWidth="1"/>
  </cols>
  <sheetData>
    <row r="1" spans="1:11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1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58" t="s">
        <v>173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28" ht="12.75">
      <c r="A5" s="62" t="s">
        <v>2</v>
      </c>
      <c r="B5" s="63" t="s">
        <v>174</v>
      </c>
      <c r="D5" s="63" t="s">
        <v>166</v>
      </c>
      <c r="F5" s="64" t="s">
        <v>3</v>
      </c>
      <c r="K5" s="63" t="s">
        <v>4</v>
      </c>
      <c r="M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1:28" ht="12.75">
      <c r="K6" s="64" t="s">
        <v>5</v>
      </c>
      <c r="M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12.75">
      <c r="A7" s="68" t="s">
        <v>121</v>
      </c>
      <c r="B7" s="66">
        <f>7400+700</f>
        <v>8100</v>
      </c>
      <c r="D7" s="66">
        <v>8000</v>
      </c>
      <c r="F7" s="66">
        <f aca="true" t="shared" si="0" ref="F7:F19">B7-D7</f>
        <v>100</v>
      </c>
      <c r="K7" s="67">
        <f>+F7/D7</f>
        <v>0.0125</v>
      </c>
      <c r="M7" s="67">
        <f>(+F7+F8)/(D7+D8)</f>
        <v>0.015561643835616439</v>
      </c>
      <c r="N7" s="67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2.75">
      <c r="A8" s="68" t="s">
        <v>6</v>
      </c>
      <c r="B8" s="66">
        <v>1167</v>
      </c>
      <c r="D8" s="66">
        <v>1125</v>
      </c>
      <c r="F8" s="66">
        <f t="shared" si="0"/>
        <v>42</v>
      </c>
      <c r="K8" s="67">
        <f>+F8/D8</f>
        <v>0.037333333333333336</v>
      </c>
      <c r="M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2.75">
      <c r="A9" s="68" t="s">
        <v>7</v>
      </c>
      <c r="B9" s="66">
        <v>91</v>
      </c>
      <c r="D9" s="66">
        <v>86</v>
      </c>
      <c r="F9" s="66">
        <f t="shared" si="0"/>
        <v>5</v>
      </c>
      <c r="K9" s="67">
        <f>+F9/D9</f>
        <v>0.05813953488372093</v>
      </c>
      <c r="M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2.75">
      <c r="A10" s="68" t="s">
        <v>8</v>
      </c>
      <c r="B10" s="66">
        <v>2170</v>
      </c>
      <c r="D10" s="66">
        <v>2170</v>
      </c>
      <c r="F10" s="66">
        <f t="shared" si="0"/>
        <v>0</v>
      </c>
      <c r="K10" s="67">
        <f>+F10/D10</f>
        <v>0</v>
      </c>
      <c r="M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12.75">
      <c r="A11" s="62" t="s">
        <v>113</v>
      </c>
      <c r="B11" s="66">
        <f>SUM(B7:B10)</f>
        <v>11528</v>
      </c>
      <c r="D11" s="66">
        <f>SUM(D7:D10)</f>
        <v>11381</v>
      </c>
      <c r="F11" s="66">
        <f t="shared" si="0"/>
        <v>147</v>
      </c>
      <c r="K11" s="67">
        <f>+F11/D11</f>
        <v>0.012916263948686408</v>
      </c>
      <c r="M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ht="12.75">
      <c r="A12" s="62" t="s">
        <v>9</v>
      </c>
      <c r="B12" s="182">
        <f>SUM(B15:B18)</f>
        <v>17.15</v>
      </c>
      <c r="D12" s="182">
        <f>SUM(D15:D18)</f>
        <v>17.04</v>
      </c>
      <c r="F12" s="111">
        <f t="shared" si="0"/>
        <v>0.10999999999999943</v>
      </c>
      <c r="G12" s="70"/>
      <c r="H12" s="70"/>
      <c r="I12" s="70"/>
      <c r="J12" s="69"/>
      <c r="K12" s="67">
        <f aca="true" t="shared" si="1" ref="K12:K19">+F12/D12</f>
        <v>0.00645539906103283</v>
      </c>
      <c r="M12" s="183" t="s">
        <v>155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ht="12.75">
      <c r="A13" s="62" t="s">
        <v>10</v>
      </c>
      <c r="B13" s="70">
        <v>35789.12</v>
      </c>
      <c r="D13" s="70">
        <v>35789.12</v>
      </c>
      <c r="F13" s="49">
        <f t="shared" si="0"/>
        <v>0</v>
      </c>
      <c r="K13" s="67">
        <f t="shared" si="1"/>
        <v>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ht="12.75">
      <c r="A14" s="62" t="s">
        <v>11</v>
      </c>
      <c r="B14" s="67">
        <v>0.00025</v>
      </c>
      <c r="D14" s="67">
        <v>0.00025</v>
      </c>
      <c r="E14" s="71"/>
      <c r="F14" s="50">
        <f t="shared" si="0"/>
        <v>0</v>
      </c>
      <c r="G14" s="71"/>
      <c r="H14" s="71"/>
      <c r="I14" s="71"/>
      <c r="J14" s="71"/>
      <c r="K14" s="67">
        <f t="shared" si="1"/>
        <v>0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ht="12.75">
      <c r="A15" s="62" t="s">
        <v>12</v>
      </c>
      <c r="B15" s="69">
        <v>7.25</v>
      </c>
      <c r="D15" s="69">
        <v>7.25</v>
      </c>
      <c r="F15" s="111">
        <f t="shared" si="0"/>
        <v>0</v>
      </c>
      <c r="K15" s="67">
        <f t="shared" si="1"/>
        <v>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ht="12.75">
      <c r="A16" s="62" t="s">
        <v>13</v>
      </c>
      <c r="B16" s="69">
        <v>5.5</v>
      </c>
      <c r="D16" s="69">
        <v>5.5</v>
      </c>
      <c r="F16" s="111">
        <f t="shared" si="0"/>
        <v>0</v>
      </c>
      <c r="K16" s="67">
        <f t="shared" si="1"/>
        <v>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ht="12.75">
      <c r="A17" s="62" t="s">
        <v>122</v>
      </c>
      <c r="B17" s="182">
        <v>4.4</v>
      </c>
      <c r="D17" s="182">
        <v>4.29</v>
      </c>
      <c r="F17" s="111">
        <f>B17-D17</f>
        <v>0.11000000000000032</v>
      </c>
      <c r="K17" s="50">
        <f>IF(D17=0,1,+F17/D17)</f>
        <v>0.025641025641025716</v>
      </c>
      <c r="M17" s="60" t="s">
        <v>167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ht="12.75">
      <c r="A18" s="62" t="s">
        <v>14</v>
      </c>
      <c r="B18" s="69">
        <v>0</v>
      </c>
      <c r="D18" s="69">
        <v>0</v>
      </c>
      <c r="F18" s="111">
        <f t="shared" si="0"/>
        <v>0</v>
      </c>
      <c r="K18" s="67" t="e">
        <f t="shared" si="1"/>
        <v>#DIV/0!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ht="12.75">
      <c r="A19" s="68" t="s">
        <v>125</v>
      </c>
      <c r="B19" s="69">
        <v>0</v>
      </c>
      <c r="D19" s="69">
        <v>0</v>
      </c>
      <c r="F19" s="111">
        <f t="shared" si="0"/>
        <v>0</v>
      </c>
      <c r="K19" s="67" t="e">
        <f t="shared" si="1"/>
        <v>#DIV/0!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5:28" ht="12.75"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ht="12.75">
      <c r="A21" s="72" t="s">
        <v>95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ht="12.75">
      <c r="A22" s="73" t="s">
        <v>96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ht="12.75">
      <c r="A23" s="72" t="s">
        <v>97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2.75">
      <c r="A24" s="68" t="s">
        <v>15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12.75">
      <c r="A25" s="62"/>
      <c r="C25" s="73"/>
      <c r="D25" s="73"/>
      <c r="E25" s="73"/>
      <c r="F25" s="73"/>
      <c r="G25" s="73"/>
      <c r="H25" s="73"/>
      <c r="I25" s="73"/>
      <c r="J25" s="73"/>
      <c r="K25" s="73"/>
      <c r="L25" s="74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 ht="12.75">
      <c r="A26" s="75" t="s">
        <v>16</v>
      </c>
      <c r="B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5:28" ht="12.75"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8" ht="12.75">
      <c r="A28" s="62" t="s">
        <v>17</v>
      </c>
      <c r="B28" s="66">
        <f>$B$7</f>
        <v>8100</v>
      </c>
      <c r="C28" s="76" t="s">
        <v>18</v>
      </c>
      <c r="D28" s="66">
        <f>B$10</f>
        <v>2170</v>
      </c>
      <c r="E28" s="62" t="s">
        <v>19</v>
      </c>
      <c r="F28" s="69">
        <f>B$12</f>
        <v>17.15</v>
      </c>
      <c r="G28" s="62" t="s">
        <v>19</v>
      </c>
      <c r="H28" s="77">
        <v>3</v>
      </c>
      <c r="I28" s="62" t="s">
        <v>20</v>
      </c>
      <c r="J28" s="78" t="s">
        <v>21</v>
      </c>
      <c r="K28" s="66">
        <f>ROUNDUP((+B28+D28)*F28*H28,0)</f>
        <v>528392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 ht="12.75">
      <c r="A29" s="62" t="s">
        <v>22</v>
      </c>
      <c r="B29" s="66">
        <f>$B$8</f>
        <v>1167</v>
      </c>
      <c r="C29" s="76" t="s">
        <v>18</v>
      </c>
      <c r="D29" s="66">
        <f>$B$9</f>
        <v>91</v>
      </c>
      <c r="E29" s="62" t="s">
        <v>19</v>
      </c>
      <c r="F29" s="69">
        <f>B$12</f>
        <v>17.15</v>
      </c>
      <c r="G29" s="62" t="s">
        <v>19</v>
      </c>
      <c r="H29" s="77">
        <v>3</v>
      </c>
      <c r="I29" s="62" t="s">
        <v>20</v>
      </c>
      <c r="J29" s="79"/>
      <c r="K29" s="80">
        <f>ROUNDUP((+B29+D29)*F29*H29,0)</f>
        <v>64725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0:28" ht="12.75">
      <c r="J30" s="78" t="s">
        <v>21</v>
      </c>
      <c r="K30" s="66">
        <f>K28+K29</f>
        <v>593117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0:28" ht="12.75">
      <c r="J31" s="81" t="s">
        <v>19</v>
      </c>
      <c r="K31" s="82">
        <v>0.95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 ht="13.5" thickBot="1">
      <c r="A32" s="85"/>
      <c r="B32" s="85"/>
      <c r="C32" s="85"/>
      <c r="D32" s="85"/>
      <c r="E32" s="85"/>
      <c r="F32" s="85"/>
      <c r="G32" s="85"/>
      <c r="H32" s="85"/>
      <c r="I32" s="85"/>
      <c r="J32" s="83" t="s">
        <v>21</v>
      </c>
      <c r="K32" s="84">
        <f>ROUNDUP(K30*K31,0)</f>
        <v>563462</v>
      </c>
      <c r="M32" s="70">
        <f>K32</f>
        <v>563462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ht="14.25" thickBot="1" thickTop="1">
      <c r="A33" s="121"/>
      <c r="B33" s="121"/>
      <c r="C33" s="121"/>
      <c r="D33" s="121"/>
      <c r="E33" s="121"/>
      <c r="F33" s="121"/>
      <c r="G33" s="121"/>
      <c r="H33" s="121"/>
      <c r="I33" s="121"/>
      <c r="J33" s="122"/>
      <c r="K33" s="123"/>
      <c r="L33" s="121"/>
      <c r="M33" s="12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12.75">
      <c r="A34" s="75" t="s">
        <v>23</v>
      </c>
      <c r="B34" s="85"/>
      <c r="K34" s="66"/>
      <c r="M34" s="70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 ht="12.75">
      <c r="A35" s="62" t="s">
        <v>17</v>
      </c>
      <c r="B35" s="66">
        <f>$B$7</f>
        <v>8100</v>
      </c>
      <c r="C35" s="76" t="s">
        <v>18</v>
      </c>
      <c r="D35" s="66">
        <f>B$10</f>
        <v>2170</v>
      </c>
      <c r="E35" s="62" t="s">
        <v>19</v>
      </c>
      <c r="F35" s="69">
        <f>+$B$15</f>
        <v>7.25</v>
      </c>
      <c r="G35" s="62" t="s">
        <v>19</v>
      </c>
      <c r="H35" s="77">
        <v>3</v>
      </c>
      <c r="I35" s="62" t="s">
        <v>20</v>
      </c>
      <c r="J35" s="78" t="s">
        <v>21</v>
      </c>
      <c r="K35" s="66">
        <f>ROUNDUP((+B35+D35)*F35*H35,0)</f>
        <v>223373</v>
      </c>
      <c r="M35" s="70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2.75">
      <c r="A36" s="62" t="s">
        <v>22</v>
      </c>
      <c r="B36" s="66">
        <f>$B$8</f>
        <v>1167</v>
      </c>
      <c r="C36" s="76" t="s">
        <v>18</v>
      </c>
      <c r="D36" s="66">
        <f>$B$9</f>
        <v>91</v>
      </c>
      <c r="E36" s="62" t="s">
        <v>19</v>
      </c>
      <c r="F36" s="69">
        <f>+$B$15</f>
        <v>7.25</v>
      </c>
      <c r="G36" s="62" t="s">
        <v>19</v>
      </c>
      <c r="H36" s="77">
        <v>3</v>
      </c>
      <c r="I36" s="62" t="s">
        <v>20</v>
      </c>
      <c r="J36" s="79"/>
      <c r="K36" s="80">
        <f>ROUNDUP((+B36+D36)*F36*H36,0)</f>
        <v>27362</v>
      </c>
      <c r="M36" s="70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0:28" ht="12.75">
      <c r="J37" s="78" t="s">
        <v>21</v>
      </c>
      <c r="K37" s="66">
        <f>K35+K36</f>
        <v>250735</v>
      </c>
      <c r="M37" s="70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0:28" ht="12.75">
      <c r="J38" s="81" t="s">
        <v>19</v>
      </c>
      <c r="K38" s="82">
        <v>0.95</v>
      </c>
      <c r="M38" s="70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0:28" ht="13.5" thickBot="1">
      <c r="J39" s="83" t="s">
        <v>21</v>
      </c>
      <c r="K39" s="84">
        <f>ROUND(K37*K38-1,0)</f>
        <v>238197</v>
      </c>
      <c r="M39" s="70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ht="13.5" thickTop="1">
      <c r="A40" s="130" t="s">
        <v>123</v>
      </c>
      <c r="B40" s="85"/>
      <c r="K40" s="66"/>
      <c r="M40" s="70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ht="12.75">
      <c r="A41" s="62" t="s">
        <v>17</v>
      </c>
      <c r="B41" s="66">
        <f>$B$7</f>
        <v>8100</v>
      </c>
      <c r="C41" s="76" t="s">
        <v>18</v>
      </c>
      <c r="D41" s="66">
        <f>B$10</f>
        <v>2170</v>
      </c>
      <c r="E41" s="62" t="s">
        <v>19</v>
      </c>
      <c r="F41" s="69">
        <f>$B$16</f>
        <v>5.5</v>
      </c>
      <c r="G41" s="62" t="s">
        <v>19</v>
      </c>
      <c r="H41" s="77">
        <v>3</v>
      </c>
      <c r="I41" s="62" t="s">
        <v>20</v>
      </c>
      <c r="J41" s="78" t="s">
        <v>21</v>
      </c>
      <c r="K41" s="66">
        <f>ROUNDUP((+B41+D41)*F41*H41,0)</f>
        <v>169455</v>
      </c>
      <c r="M41" s="70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2.75">
      <c r="A42" s="62" t="s">
        <v>22</v>
      </c>
      <c r="B42" s="66">
        <f>$B$8</f>
        <v>1167</v>
      </c>
      <c r="C42" s="76" t="s">
        <v>18</v>
      </c>
      <c r="D42" s="66">
        <f>$B$9</f>
        <v>91</v>
      </c>
      <c r="E42" s="62" t="s">
        <v>19</v>
      </c>
      <c r="F42" s="69">
        <f>$B$16</f>
        <v>5.5</v>
      </c>
      <c r="G42" s="62" t="s">
        <v>19</v>
      </c>
      <c r="H42" s="77">
        <v>3</v>
      </c>
      <c r="I42" s="62" t="s">
        <v>20</v>
      </c>
      <c r="J42" s="79"/>
      <c r="K42" s="80">
        <f>ROUNDUP((+B42+D42)*F42*H42,0)</f>
        <v>20757</v>
      </c>
      <c r="M42" s="70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0:28" ht="12.75">
      <c r="J43" s="78" t="s">
        <v>21</v>
      </c>
      <c r="K43" s="66">
        <f>K41+K42</f>
        <v>190212</v>
      </c>
      <c r="M43" s="70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0:28" ht="12.75">
      <c r="J44" s="81" t="s">
        <v>19</v>
      </c>
      <c r="K44" s="82">
        <v>0.95</v>
      </c>
      <c r="M44" s="70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0:28" ht="13.5" thickBot="1">
      <c r="J45" s="83" t="s">
        <v>21</v>
      </c>
      <c r="K45" s="84">
        <f>ROUND(K43*K44,0)</f>
        <v>180701</v>
      </c>
      <c r="M45" s="70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0:28" ht="13.5" thickTop="1">
      <c r="J46" s="100"/>
      <c r="K46" s="129"/>
      <c r="M46" s="70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ht="12.75">
      <c r="A47" s="130" t="s">
        <v>124</v>
      </c>
      <c r="B47" s="85"/>
      <c r="K47" s="66"/>
      <c r="M47" s="70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2.75">
      <c r="A48" s="62" t="s">
        <v>17</v>
      </c>
      <c r="B48" s="66">
        <f>$B$7</f>
        <v>8100</v>
      </c>
      <c r="C48" s="76" t="s">
        <v>18</v>
      </c>
      <c r="D48" s="66">
        <f>B$10</f>
        <v>2170</v>
      </c>
      <c r="E48" s="62" t="s">
        <v>19</v>
      </c>
      <c r="F48" s="69">
        <f>$B$17</f>
        <v>4.4</v>
      </c>
      <c r="G48" s="62" t="s">
        <v>19</v>
      </c>
      <c r="H48" s="77">
        <v>3</v>
      </c>
      <c r="I48" s="62" t="s">
        <v>20</v>
      </c>
      <c r="J48" s="78" t="s">
        <v>21</v>
      </c>
      <c r="K48" s="66">
        <f>ROUNDUP((+B48+D48)*F48*H48,0)</f>
        <v>135564</v>
      </c>
      <c r="M48" s="70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12.75">
      <c r="A49" s="62" t="s">
        <v>22</v>
      </c>
      <c r="B49" s="66">
        <f>$B$8</f>
        <v>1167</v>
      </c>
      <c r="C49" s="76" t="s">
        <v>18</v>
      </c>
      <c r="D49" s="66">
        <f>$B$9</f>
        <v>91</v>
      </c>
      <c r="E49" s="62" t="s">
        <v>19</v>
      </c>
      <c r="F49" s="69">
        <f>$B$17</f>
        <v>4.4</v>
      </c>
      <c r="G49" s="62" t="s">
        <v>19</v>
      </c>
      <c r="H49" s="77">
        <v>3</v>
      </c>
      <c r="I49" s="62" t="s">
        <v>20</v>
      </c>
      <c r="J49" s="79"/>
      <c r="K49" s="80">
        <f>ROUNDUP((+B49+D49)*F49*H49,0)</f>
        <v>16606</v>
      </c>
      <c r="M49" s="70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10:28" ht="12.75">
      <c r="J50" s="78" t="s">
        <v>21</v>
      </c>
      <c r="K50" s="66">
        <f>K48+K49</f>
        <v>152170</v>
      </c>
      <c r="M50" s="70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10:28" ht="12.75">
      <c r="J51" s="81" t="s">
        <v>19</v>
      </c>
      <c r="K51" s="82">
        <v>0.95</v>
      </c>
      <c r="M51" s="70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0:28" ht="13.5" thickBot="1">
      <c r="J52" s="83" t="s">
        <v>21</v>
      </c>
      <c r="K52" s="84">
        <f>ROUND(K50*K51,0)</f>
        <v>144562</v>
      </c>
      <c r="M52" s="70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13" ht="13.5" thickTop="1">
      <c r="A53" s="75" t="s">
        <v>24</v>
      </c>
      <c r="B53" s="85"/>
      <c r="K53" s="66"/>
      <c r="M53" s="70"/>
    </row>
    <row r="54" spans="1:17" ht="12.75">
      <c r="A54" s="62" t="s">
        <v>17</v>
      </c>
      <c r="B54" s="66">
        <f>$B$7</f>
        <v>8100</v>
      </c>
      <c r="C54" s="76" t="s">
        <v>18</v>
      </c>
      <c r="D54" s="66">
        <f>B$10</f>
        <v>2170</v>
      </c>
      <c r="E54" s="62" t="s">
        <v>19</v>
      </c>
      <c r="F54" s="69">
        <f>$B$18</f>
        <v>0</v>
      </c>
      <c r="G54" s="62" t="s">
        <v>19</v>
      </c>
      <c r="H54" s="77">
        <v>3</v>
      </c>
      <c r="I54" s="62" t="s">
        <v>20</v>
      </c>
      <c r="J54" s="78" t="s">
        <v>21</v>
      </c>
      <c r="K54" s="66">
        <f>ROUNDUP((+B54+D54)*F54*H54,0)</f>
        <v>0</v>
      </c>
      <c r="M54" s="70"/>
      <c r="Q54" s="70"/>
    </row>
    <row r="55" spans="1:17" ht="12.75">
      <c r="A55" s="62" t="s">
        <v>22</v>
      </c>
      <c r="B55" s="66">
        <f>$B$8</f>
        <v>1167</v>
      </c>
      <c r="C55" s="76" t="s">
        <v>18</v>
      </c>
      <c r="D55" s="66">
        <f>$B$9</f>
        <v>91</v>
      </c>
      <c r="E55" s="62" t="s">
        <v>19</v>
      </c>
      <c r="F55" s="69">
        <f>$B$18</f>
        <v>0</v>
      </c>
      <c r="G55" s="62" t="s">
        <v>19</v>
      </c>
      <c r="H55" s="77">
        <v>3</v>
      </c>
      <c r="I55" s="62" t="s">
        <v>20</v>
      </c>
      <c r="J55" s="79"/>
      <c r="K55" s="80">
        <f>ROUNDUP((+B55+D55)*F55*H55,0)</f>
        <v>0</v>
      </c>
      <c r="M55" s="70"/>
      <c r="Q55" s="70"/>
    </row>
    <row r="56" spans="10:17" ht="12.75">
      <c r="J56" s="78" t="s">
        <v>21</v>
      </c>
      <c r="K56" s="66">
        <f>K54+K55</f>
        <v>0</v>
      </c>
      <c r="M56" s="70"/>
      <c r="Q56" s="70"/>
    </row>
    <row r="57" spans="10:17" ht="12.75">
      <c r="J57" s="81" t="s">
        <v>19</v>
      </c>
      <c r="K57" s="82">
        <v>0.95</v>
      </c>
      <c r="M57" s="70"/>
      <c r="Q57" s="70"/>
    </row>
    <row r="58" spans="10:13" ht="13.5" thickBot="1">
      <c r="J58" s="83" t="s">
        <v>21</v>
      </c>
      <c r="K58" s="84">
        <f>ROUND(K56*K57,0)</f>
        <v>0</v>
      </c>
      <c r="M58" s="87">
        <f>SUM(K39,K52,K58)</f>
        <v>382759</v>
      </c>
    </row>
    <row r="59" spans="1:13" ht="13.5" thickTop="1">
      <c r="A59" s="75" t="s">
        <v>104</v>
      </c>
      <c r="B59" s="85"/>
      <c r="K59" s="66"/>
      <c r="M59" s="115"/>
    </row>
    <row r="60" spans="1:13" ht="12.75">
      <c r="A60" s="62" t="s">
        <v>17</v>
      </c>
      <c r="B60" s="66">
        <f>$B$7</f>
        <v>8100</v>
      </c>
      <c r="C60" s="76" t="s">
        <v>18</v>
      </c>
      <c r="D60" s="66">
        <f>B$10</f>
        <v>2170</v>
      </c>
      <c r="E60" s="62" t="s">
        <v>19</v>
      </c>
      <c r="F60" s="69">
        <f>$B$19-(3*$B$18)</f>
        <v>0</v>
      </c>
      <c r="G60" s="62" t="s">
        <v>19</v>
      </c>
      <c r="H60" s="77">
        <v>1</v>
      </c>
      <c r="I60" s="62" t="s">
        <v>20</v>
      </c>
      <c r="J60" s="78" t="s">
        <v>21</v>
      </c>
      <c r="K60" s="66">
        <f>ROUNDDOWN((+B60+D60)*F60*H60,0)</f>
        <v>0</v>
      </c>
      <c r="M60" s="115"/>
    </row>
    <row r="61" spans="1:13" ht="12.75">
      <c r="A61" s="62" t="s">
        <v>22</v>
      </c>
      <c r="B61" s="66">
        <f>$B$8</f>
        <v>1167</v>
      </c>
      <c r="C61" s="76" t="s">
        <v>18</v>
      </c>
      <c r="D61" s="66">
        <f>$B$9</f>
        <v>91</v>
      </c>
      <c r="E61" s="62" t="s">
        <v>19</v>
      </c>
      <c r="F61" s="69">
        <f>$B$19-(3*$B$18)</f>
        <v>0</v>
      </c>
      <c r="G61" s="62" t="s">
        <v>19</v>
      </c>
      <c r="H61" s="77">
        <v>1</v>
      </c>
      <c r="I61" s="62" t="s">
        <v>20</v>
      </c>
      <c r="J61" s="79"/>
      <c r="K61" s="80">
        <f>ROUNDDOWN((+B61+D61)*F61*H61,0)</f>
        <v>0</v>
      </c>
      <c r="M61" s="115"/>
    </row>
    <row r="62" spans="10:11" ht="12.75">
      <c r="J62" s="78" t="s">
        <v>21</v>
      </c>
      <c r="K62" s="66">
        <f>K60+K61</f>
        <v>0</v>
      </c>
    </row>
    <row r="63" spans="10:11" ht="12.75">
      <c r="J63" s="81" t="s">
        <v>19</v>
      </c>
      <c r="K63" s="82">
        <v>0.95</v>
      </c>
    </row>
    <row r="64" spans="10:11" ht="13.5" thickBot="1">
      <c r="J64" s="83" t="s">
        <v>21</v>
      </c>
      <c r="K64" s="84">
        <f>ROUND(K62*K63,0)</f>
        <v>0</v>
      </c>
    </row>
    <row r="65" ht="13.5" thickTop="1"/>
    <row r="66" spans="1:11" ht="13.5" thickBot="1">
      <c r="A66" s="68" t="s">
        <v>135</v>
      </c>
      <c r="D66" s="70">
        <f>B13</f>
        <v>35789.12</v>
      </c>
      <c r="E66" s="62" t="s">
        <v>19</v>
      </c>
      <c r="F66" s="67">
        <f>B14</f>
        <v>0.00025</v>
      </c>
      <c r="H66" s="88"/>
      <c r="I66" s="62" t="s">
        <v>20</v>
      </c>
      <c r="J66" s="83" t="s">
        <v>21</v>
      </c>
      <c r="K66" s="84">
        <f>ROUND(D66*F66,0)</f>
        <v>9</v>
      </c>
    </row>
    <row r="67" spans="1:11" ht="14.25" thickBot="1" thickTop="1">
      <c r="A67" s="62"/>
      <c r="D67" s="70"/>
      <c r="E67" s="62"/>
      <c r="F67" s="88"/>
      <c r="H67" s="88"/>
      <c r="I67" s="62"/>
      <c r="J67" s="100"/>
      <c r="K67" s="101"/>
    </row>
    <row r="68" spans="1:15" ht="13.5" thickTop="1">
      <c r="A68" s="107"/>
      <c r="B68" s="108"/>
      <c r="C68" s="108"/>
      <c r="D68" s="109"/>
      <c r="E68" s="102"/>
      <c r="F68" s="104"/>
      <c r="G68" s="103"/>
      <c r="H68" s="104"/>
      <c r="I68" s="102"/>
      <c r="J68" s="105"/>
      <c r="K68" s="106"/>
      <c r="L68" s="103"/>
      <c r="M68" s="103"/>
      <c r="N68" s="103"/>
      <c r="O68" s="103"/>
    </row>
    <row r="69" spans="1:11" ht="12.75">
      <c r="A69" s="62"/>
      <c r="D69" s="70"/>
      <c r="E69" s="62"/>
      <c r="F69" s="88"/>
      <c r="H69" s="88"/>
      <c r="I69" s="62"/>
      <c r="J69" s="100"/>
      <c r="K69" s="101"/>
    </row>
    <row r="70" spans="1:11" ht="12.75">
      <c r="A70" s="62"/>
      <c r="D70" s="70"/>
      <c r="E70" s="62"/>
      <c r="F70" s="88"/>
      <c r="H70" s="88"/>
      <c r="I70" s="62"/>
      <c r="J70" s="100"/>
      <c r="K70" s="101"/>
    </row>
    <row r="71" spans="1:11" ht="12.75">
      <c r="A71" s="62"/>
      <c r="D71" s="70"/>
      <c r="E71" s="62"/>
      <c r="F71" s="88"/>
      <c r="H71" s="88"/>
      <c r="I71" s="62"/>
      <c r="J71" s="100"/>
      <c r="K71" s="101"/>
    </row>
    <row r="72" spans="1:11" ht="12.75">
      <c r="A72" s="62"/>
      <c r="D72" s="70"/>
      <c r="E72" s="62"/>
      <c r="F72" s="88"/>
      <c r="H72" s="88"/>
      <c r="I72" s="62"/>
      <c r="J72" s="100"/>
      <c r="K72" s="101"/>
    </row>
    <row r="73" spans="1:11" ht="12.75">
      <c r="A73" s="62"/>
      <c r="D73" s="70"/>
      <c r="E73" s="62"/>
      <c r="F73" s="88"/>
      <c r="H73" s="88"/>
      <c r="I73" s="62"/>
      <c r="J73" s="100"/>
      <c r="K73" s="101"/>
    </row>
    <row r="74" spans="1:11" ht="12.75">
      <c r="A74" s="62"/>
      <c r="D74" s="70"/>
      <c r="E74" s="62"/>
      <c r="F74" s="88"/>
      <c r="H74" s="88"/>
      <c r="I74" s="62"/>
      <c r="J74" s="100"/>
      <c r="K74" s="101"/>
    </row>
    <row r="75" spans="1:11" ht="12.75">
      <c r="A75" s="62"/>
      <c r="D75" s="70"/>
      <c r="E75" s="62"/>
      <c r="F75" s="88"/>
      <c r="H75" s="88"/>
      <c r="I75" s="62"/>
      <c r="J75" s="100"/>
      <c r="K75" s="101"/>
    </row>
    <row r="76" spans="1:11" ht="12.75">
      <c r="A76" s="62"/>
      <c r="D76" s="70"/>
      <c r="E76" s="62"/>
      <c r="F76" s="88"/>
      <c r="H76" s="88"/>
      <c r="I76" s="62"/>
      <c r="J76" s="100"/>
      <c r="K76" s="101"/>
    </row>
    <row r="77" spans="1:11" ht="12.75">
      <c r="A77" s="62"/>
      <c r="D77" s="70"/>
      <c r="E77" s="62"/>
      <c r="F77" s="88"/>
      <c r="H77" s="88"/>
      <c r="I77" s="62"/>
      <c r="J77" s="100"/>
      <c r="K77" s="101"/>
    </row>
    <row r="78" spans="10:11" ht="12.75">
      <c r="J78" s="86"/>
      <c r="K78" s="86"/>
    </row>
    <row r="79" ht="12.75">
      <c r="A79" s="62"/>
    </row>
  </sheetData>
  <sheetProtection/>
  <printOptions horizontalCentered="1"/>
  <pageMargins left="0.5" right="0.5" top="1" bottom="1" header="0.5" footer="0.5"/>
  <pageSetup fitToHeight="1" fitToWidth="1" orientation="portrait" scale="77" r:id="rId1"/>
  <headerFooter alignWithMargins="0">
    <oddFooter>&amp;L&amp;"MS Sans Serif"ASUCLA Student Support Services&amp;R&amp;"MS Sans Serif"Printed on &amp;D</oddFooter>
  </headerFooter>
  <rowBreaks count="1" manualBreakCount="1">
    <brk id="5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120" zoomScaleNormal="120" zoomScalePageLayoutView="0" workbookViewId="0" topLeftCell="A1">
      <selection activeCell="I35" sqref="I35"/>
    </sheetView>
  </sheetViews>
  <sheetFormatPr defaultColWidth="9.140625" defaultRowHeight="12.75"/>
  <cols>
    <col min="1" max="1" width="36.7109375" style="2" customWidth="1"/>
    <col min="2" max="2" width="5.7109375" style="2" customWidth="1"/>
    <col min="3" max="3" width="10.421875" style="2" customWidth="1"/>
    <col min="4" max="4" width="8.8515625" style="2" bestFit="1" customWidth="1"/>
    <col min="5" max="7" width="10.7109375" style="2" customWidth="1"/>
    <col min="8" max="8" width="3.7109375" style="2" customWidth="1"/>
    <col min="9" max="9" width="10.7109375" style="2" customWidth="1"/>
    <col min="10" max="10" width="2.57421875" style="2" customWidth="1"/>
    <col min="11" max="11" width="12.421875" style="2" customWidth="1"/>
    <col min="12" max="12" width="20.7109375" style="2" customWidth="1"/>
    <col min="13" max="13" width="7.8515625" style="2" bestFit="1" customWidth="1"/>
    <col min="14" max="14" width="26.28125" style="2" customWidth="1"/>
    <col min="15" max="15" width="15.7109375" style="2" customWidth="1"/>
    <col min="16" max="16384" width="9.140625" style="2" customWidth="1"/>
  </cols>
  <sheetData>
    <row r="1" spans="1:13" ht="12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1"/>
      <c r="K1" s="1"/>
      <c r="L1" s="1"/>
      <c r="M1" s="1"/>
    </row>
    <row r="2" spans="1:13" ht="12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1"/>
      <c r="K2" s="1"/>
      <c r="L2" s="1"/>
      <c r="M2" s="1"/>
    </row>
    <row r="3" spans="1:13" ht="12.75">
      <c r="A3" s="239" t="s">
        <v>178</v>
      </c>
      <c r="B3" s="240"/>
      <c r="C3" s="240"/>
      <c r="D3" s="240"/>
      <c r="E3" s="240"/>
      <c r="F3" s="240"/>
      <c r="G3" s="240"/>
      <c r="H3" s="240"/>
      <c r="I3" s="240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92"/>
      <c r="J4" s="92"/>
      <c r="K4" s="92"/>
      <c r="L4" s="92"/>
      <c r="M4" s="92"/>
    </row>
    <row r="5" spans="1:13" ht="13.5" thickBot="1">
      <c r="A5" s="33"/>
      <c r="E5" s="26"/>
      <c r="H5"/>
      <c r="I5" s="110"/>
      <c r="J5" s="92"/>
      <c r="K5" s="110"/>
      <c r="L5" s="92"/>
      <c r="M5" s="92"/>
    </row>
    <row r="6" spans="1:13" ht="13.5" thickTop="1">
      <c r="A6" s="3"/>
      <c r="B6" s="3"/>
      <c r="C6" s="207" t="s">
        <v>177</v>
      </c>
      <c r="D6" s="125" t="s">
        <v>108</v>
      </c>
      <c r="E6" s="4"/>
      <c r="F6" s="204" t="s">
        <v>25</v>
      </c>
      <c r="G6" s="154" t="s">
        <v>68</v>
      </c>
      <c r="H6"/>
      <c r="I6" s="4" t="s">
        <v>25</v>
      </c>
      <c r="J6" s="116"/>
      <c r="K6" s="34" t="s">
        <v>68</v>
      </c>
      <c r="L6" s="116"/>
      <c r="M6" s="116"/>
    </row>
    <row r="7" spans="1:13" ht="12.75">
      <c r="A7" s="5"/>
      <c r="B7" s="46" t="s">
        <v>71</v>
      </c>
      <c r="C7" s="208" t="s">
        <v>72</v>
      </c>
      <c r="D7" s="46" t="s">
        <v>72</v>
      </c>
      <c r="E7" s="6"/>
      <c r="F7" s="6" t="s">
        <v>168</v>
      </c>
      <c r="G7" s="6" t="s">
        <v>168</v>
      </c>
      <c r="H7"/>
      <c r="I7" s="6" t="s">
        <v>172</v>
      </c>
      <c r="J7" s="89"/>
      <c r="K7" s="134"/>
      <c r="L7" s="89"/>
      <c r="M7" s="89"/>
    </row>
    <row r="8" spans="1:13" ht="13.5" thickBot="1">
      <c r="A8" s="7" t="s">
        <v>73</v>
      </c>
      <c r="B8" s="47"/>
      <c r="C8" s="209" t="s">
        <v>74</v>
      </c>
      <c r="D8" s="47" t="s">
        <v>74</v>
      </c>
      <c r="E8" s="8"/>
      <c r="F8" s="205" t="s">
        <v>29</v>
      </c>
      <c r="G8" s="155" t="s">
        <v>30</v>
      </c>
      <c r="H8"/>
      <c r="I8" s="8" t="s">
        <v>29</v>
      </c>
      <c r="J8" s="116"/>
      <c r="K8" s="137" t="s">
        <v>30</v>
      </c>
      <c r="L8" s="116"/>
      <c r="M8" s="116"/>
    </row>
    <row r="9" spans="1:13" ht="13.5" thickTop="1">
      <c r="A9" s="5" t="s">
        <v>75</v>
      </c>
      <c r="B9" s="46" t="s">
        <v>76</v>
      </c>
      <c r="C9" s="208"/>
      <c r="D9" s="46"/>
      <c r="E9" s="6"/>
      <c r="F9" s="6"/>
      <c r="G9" s="6"/>
      <c r="H9"/>
      <c r="I9" s="6"/>
      <c r="J9" s="116"/>
      <c r="K9" s="6"/>
      <c r="L9" s="116"/>
      <c r="M9" s="116"/>
    </row>
    <row r="10" spans="1:13" ht="12.75">
      <c r="A10" s="29" t="s">
        <v>77</v>
      </c>
      <c r="B10" s="48">
        <v>12</v>
      </c>
      <c r="C10" s="210">
        <v>914</v>
      </c>
      <c r="D10" s="56">
        <v>914</v>
      </c>
      <c r="E10" s="28"/>
      <c r="F10" s="28">
        <v>10968</v>
      </c>
      <c r="G10" s="28">
        <v>0</v>
      </c>
      <c r="H10"/>
      <c r="I10" s="28">
        <f>B10*D10</f>
        <v>10968</v>
      </c>
      <c r="J10" s="117"/>
      <c r="K10" s="27"/>
      <c r="L10" s="118"/>
      <c r="M10" s="117"/>
    </row>
    <row r="11" spans="1:13" ht="12.75">
      <c r="A11" s="29" t="s">
        <v>78</v>
      </c>
      <c r="B11" s="48">
        <v>12</v>
      </c>
      <c r="C11" s="210">
        <v>725</v>
      </c>
      <c r="D11" s="56">
        <v>761</v>
      </c>
      <c r="E11" s="28"/>
      <c r="F11" s="28">
        <v>8700</v>
      </c>
      <c r="G11" s="28">
        <v>0</v>
      </c>
      <c r="H11"/>
      <c r="I11" s="28">
        <f>B11*D11</f>
        <v>9132</v>
      </c>
      <c r="J11" s="117"/>
      <c r="K11" s="28"/>
      <c r="M11" s="117"/>
    </row>
    <row r="12" spans="1:13" ht="12.75">
      <c r="A12" s="29" t="s">
        <v>79</v>
      </c>
      <c r="B12" s="48">
        <v>12</v>
      </c>
      <c r="C12" s="210">
        <v>725</v>
      </c>
      <c r="D12" s="56">
        <v>725</v>
      </c>
      <c r="E12" s="28"/>
      <c r="F12" s="28">
        <v>8700</v>
      </c>
      <c r="G12" s="28">
        <v>0</v>
      </c>
      <c r="H12"/>
      <c r="I12" s="28">
        <f>B12*D12</f>
        <v>8700</v>
      </c>
      <c r="J12" s="117"/>
      <c r="K12" s="28"/>
      <c r="L12" s="118"/>
      <c r="M12" s="117"/>
    </row>
    <row r="13" spans="1:13" ht="13.5" thickBot="1">
      <c r="A13" s="29" t="s">
        <v>80</v>
      </c>
      <c r="B13" s="48">
        <v>12</v>
      </c>
      <c r="C13" s="210">
        <v>725</v>
      </c>
      <c r="D13" s="56">
        <v>725</v>
      </c>
      <c r="E13" s="27"/>
      <c r="F13" s="27">
        <v>8700</v>
      </c>
      <c r="G13" s="27">
        <v>0</v>
      </c>
      <c r="H13"/>
      <c r="I13" s="156">
        <f>B13*D13</f>
        <v>8700</v>
      </c>
      <c r="J13" s="118"/>
      <c r="K13" s="136"/>
      <c r="L13" s="118"/>
      <c r="M13" s="118"/>
    </row>
    <row r="14" spans="1:13" ht="14.25" thickBot="1" thickTop="1">
      <c r="A14" s="30" t="s">
        <v>81</v>
      </c>
      <c r="B14" s="30"/>
      <c r="C14" s="211"/>
      <c r="D14" s="30"/>
      <c r="E14" s="31"/>
      <c r="F14" s="31">
        <f>SUM(F10:F13)</f>
        <v>37068</v>
      </c>
      <c r="G14" s="31">
        <f>SUM(G10:G13)</f>
        <v>0</v>
      </c>
      <c r="H14"/>
      <c r="I14" s="31">
        <f>SUM(I10:I13)</f>
        <v>37500</v>
      </c>
      <c r="J14" s="119"/>
      <c r="K14" s="31">
        <f>SUM(K10:K13)</f>
        <v>0</v>
      </c>
      <c r="L14" s="119"/>
      <c r="M14" s="119"/>
    </row>
    <row r="15" spans="1:14" ht="13.5" thickTop="1">
      <c r="A15" s="29" t="s">
        <v>100</v>
      </c>
      <c r="B15" s="46" t="s">
        <v>82</v>
      </c>
      <c r="C15" s="208"/>
      <c r="D15" s="46"/>
      <c r="E15" s="32"/>
      <c r="F15" s="97"/>
      <c r="G15" s="32"/>
      <c r="H15"/>
      <c r="I15" s="97"/>
      <c r="J15" s="120"/>
      <c r="K15" s="138"/>
      <c r="L15" s="57" t="s">
        <v>189</v>
      </c>
      <c r="M15" s="120"/>
      <c r="N15" s="2" t="s">
        <v>190</v>
      </c>
    </row>
    <row r="16" spans="1:15" ht="12.75">
      <c r="A16" s="197" t="s">
        <v>115</v>
      </c>
      <c r="B16" s="46">
        <v>3</v>
      </c>
      <c r="C16" s="208">
        <v>1200</v>
      </c>
      <c r="D16" s="56">
        <v>1600</v>
      </c>
      <c r="E16" s="153"/>
      <c r="F16" s="32">
        <v>3600</v>
      </c>
      <c r="G16" s="153">
        <v>0</v>
      </c>
      <c r="H16"/>
      <c r="I16" s="28">
        <f>B16*D16</f>
        <v>4800</v>
      </c>
      <c r="J16" s="120"/>
      <c r="K16" s="97"/>
      <c r="L16" s="57">
        <v>8</v>
      </c>
      <c r="M16" s="120"/>
      <c r="N16" s="2">
        <f>I16/L16</f>
        <v>600</v>
      </c>
      <c r="O16" s="2">
        <f>L16*N16</f>
        <v>4800</v>
      </c>
    </row>
    <row r="17" spans="1:15" ht="12.75">
      <c r="A17" s="198" t="s">
        <v>84</v>
      </c>
      <c r="B17" s="48">
        <v>3</v>
      </c>
      <c r="C17" s="210">
        <v>1600</v>
      </c>
      <c r="D17" s="56">
        <v>1200</v>
      </c>
      <c r="E17" s="97"/>
      <c r="F17" s="32">
        <v>4800</v>
      </c>
      <c r="G17" s="97">
        <v>0</v>
      </c>
      <c r="H17"/>
      <c r="I17" s="28">
        <f aca="true" t="shared" si="0" ref="I17:I24">B17*D17</f>
        <v>3600</v>
      </c>
      <c r="J17" s="120"/>
      <c r="K17" s="97"/>
      <c r="L17" s="57">
        <v>8</v>
      </c>
      <c r="M17" s="120"/>
      <c r="N17" s="2">
        <f aca="true" t="shared" si="1" ref="N17:N23">I17/L17</f>
        <v>450</v>
      </c>
      <c r="O17" s="2">
        <f aca="true" t="shared" si="2" ref="O17:O23">L17*N17</f>
        <v>3600</v>
      </c>
    </row>
    <row r="18" spans="1:15" ht="12.75">
      <c r="A18" s="198" t="s">
        <v>83</v>
      </c>
      <c r="B18" s="48">
        <v>2</v>
      </c>
      <c r="C18" s="210">
        <v>1300</v>
      </c>
      <c r="D18" s="56">
        <v>1300</v>
      </c>
      <c r="E18" s="153"/>
      <c r="F18" s="32">
        <v>2600</v>
      </c>
      <c r="G18" s="153">
        <v>0</v>
      </c>
      <c r="H18"/>
      <c r="I18" s="28">
        <f>B18*D18</f>
        <v>2600</v>
      </c>
      <c r="J18" s="120"/>
      <c r="K18" s="97"/>
      <c r="L18" s="57">
        <v>6</v>
      </c>
      <c r="M18" s="57" t="s">
        <v>191</v>
      </c>
      <c r="N18" s="2">
        <v>433.34</v>
      </c>
      <c r="O18" s="2">
        <f t="shared" si="2"/>
        <v>2600.04</v>
      </c>
    </row>
    <row r="19" spans="1:15" ht="12.75">
      <c r="A19" s="29" t="s">
        <v>117</v>
      </c>
      <c r="B19" s="48" t="s">
        <v>134</v>
      </c>
      <c r="C19" s="210">
        <v>1100</v>
      </c>
      <c r="D19" s="56">
        <v>1600</v>
      </c>
      <c r="E19" s="97"/>
      <c r="F19" s="32">
        <v>3300</v>
      </c>
      <c r="G19" s="97">
        <v>0</v>
      </c>
      <c r="H19"/>
      <c r="I19" s="28">
        <f t="shared" si="0"/>
        <v>4800</v>
      </c>
      <c r="J19" s="120"/>
      <c r="K19" s="139"/>
      <c r="L19" s="57">
        <v>8</v>
      </c>
      <c r="M19" s="120"/>
      <c r="N19" s="2">
        <f t="shared" si="1"/>
        <v>600</v>
      </c>
      <c r="O19" s="2">
        <f t="shared" si="2"/>
        <v>4800</v>
      </c>
    </row>
    <row r="20" spans="1:15" ht="12.75">
      <c r="A20" s="206" t="s">
        <v>117</v>
      </c>
      <c r="B20" s="48">
        <v>3</v>
      </c>
      <c r="C20" s="210">
        <v>1100</v>
      </c>
      <c r="D20" s="56">
        <v>1600</v>
      </c>
      <c r="E20" s="176"/>
      <c r="F20" s="32">
        <v>3300</v>
      </c>
      <c r="G20" s="97">
        <v>3000</v>
      </c>
      <c r="H20"/>
      <c r="I20" s="28">
        <f t="shared" si="0"/>
        <v>4800</v>
      </c>
      <c r="J20" s="120"/>
      <c r="K20" s="139"/>
      <c r="L20" s="57">
        <v>8</v>
      </c>
      <c r="M20" s="120"/>
      <c r="N20" s="2">
        <f t="shared" si="1"/>
        <v>600</v>
      </c>
      <c r="O20" s="2">
        <f t="shared" si="2"/>
        <v>4800</v>
      </c>
    </row>
    <row r="21" spans="1:15" ht="12.75">
      <c r="A21" s="198" t="s">
        <v>102</v>
      </c>
      <c r="B21" s="48">
        <v>3</v>
      </c>
      <c r="C21" s="210">
        <v>2400</v>
      </c>
      <c r="D21" s="56">
        <v>2400</v>
      </c>
      <c r="E21" s="153"/>
      <c r="F21" s="32">
        <v>7200</v>
      </c>
      <c r="G21" s="153">
        <v>0</v>
      </c>
      <c r="H21"/>
      <c r="I21" s="28">
        <f t="shared" si="0"/>
        <v>7200</v>
      </c>
      <c r="J21" s="120"/>
      <c r="K21" s="97"/>
      <c r="L21" s="57">
        <v>8</v>
      </c>
      <c r="M21" s="120"/>
      <c r="N21" s="2">
        <f t="shared" si="1"/>
        <v>900</v>
      </c>
      <c r="O21" s="2">
        <f t="shared" si="2"/>
        <v>7200</v>
      </c>
    </row>
    <row r="22" spans="1:15" ht="12.75">
      <c r="A22" s="198" t="s">
        <v>85</v>
      </c>
      <c r="B22" s="48">
        <v>3</v>
      </c>
      <c r="C22" s="210">
        <v>1600</v>
      </c>
      <c r="D22" s="56">
        <v>1600</v>
      </c>
      <c r="E22" s="153"/>
      <c r="F22" s="32">
        <v>4800</v>
      </c>
      <c r="G22" s="153">
        <v>0</v>
      </c>
      <c r="H22"/>
      <c r="I22" s="28">
        <f t="shared" si="0"/>
        <v>4800</v>
      </c>
      <c r="J22" s="120"/>
      <c r="K22" s="97"/>
      <c r="L22" s="57">
        <v>8</v>
      </c>
      <c r="M22" s="120"/>
      <c r="N22" s="2">
        <f t="shared" si="1"/>
        <v>600</v>
      </c>
      <c r="O22" s="2">
        <f t="shared" si="2"/>
        <v>4800</v>
      </c>
    </row>
    <row r="23" spans="1:15" ht="12.75">
      <c r="A23" s="198" t="s">
        <v>114</v>
      </c>
      <c r="B23" s="48">
        <v>3</v>
      </c>
      <c r="C23" s="210">
        <v>1600</v>
      </c>
      <c r="D23" s="56">
        <v>1500</v>
      </c>
      <c r="E23" s="97"/>
      <c r="F23" s="32">
        <v>4800</v>
      </c>
      <c r="G23" s="97">
        <v>0</v>
      </c>
      <c r="H23"/>
      <c r="I23" s="28">
        <f t="shared" si="0"/>
        <v>4500</v>
      </c>
      <c r="J23" s="120"/>
      <c r="K23" s="97"/>
      <c r="L23" s="57">
        <v>8</v>
      </c>
      <c r="M23" s="120"/>
      <c r="N23" s="2">
        <f t="shared" si="1"/>
        <v>562.5</v>
      </c>
      <c r="O23" s="2">
        <f t="shared" si="2"/>
        <v>4500</v>
      </c>
    </row>
    <row r="24" spans="1:13" ht="12.75">
      <c r="A24" s="206" t="s">
        <v>114</v>
      </c>
      <c r="B24" s="48">
        <v>3</v>
      </c>
      <c r="C24" s="210">
        <v>1600</v>
      </c>
      <c r="D24" s="56">
        <v>0</v>
      </c>
      <c r="E24" s="176"/>
      <c r="F24" s="97"/>
      <c r="G24" s="97">
        <v>4800</v>
      </c>
      <c r="H24"/>
      <c r="I24" s="28">
        <f t="shared" si="0"/>
        <v>0</v>
      </c>
      <c r="J24" s="120"/>
      <c r="K24" s="97"/>
      <c r="L24" s="57"/>
      <c r="M24" s="120"/>
    </row>
    <row r="25" spans="1:15" ht="12.75">
      <c r="A25" s="114" t="s">
        <v>101</v>
      </c>
      <c r="B25" s="48"/>
      <c r="C25" s="210"/>
      <c r="D25" s="56"/>
      <c r="E25" s="97"/>
      <c r="F25" s="97"/>
      <c r="G25" s="97"/>
      <c r="H25"/>
      <c r="I25" s="97"/>
      <c r="J25" s="120"/>
      <c r="K25" s="97"/>
      <c r="L25" s="120"/>
      <c r="M25" s="120"/>
      <c r="N25" s="2">
        <f>SUM(N16:N24)</f>
        <v>4745.84</v>
      </c>
      <c r="O25" s="2">
        <f>SUM(O16:O24)</f>
        <v>37100.04</v>
      </c>
    </row>
    <row r="26" spans="1:13" ht="12.75">
      <c r="A26" s="152" t="s">
        <v>116</v>
      </c>
      <c r="B26" s="48">
        <v>3</v>
      </c>
      <c r="C26" s="210"/>
      <c r="D26" s="56">
        <v>0</v>
      </c>
      <c r="E26" s="97"/>
      <c r="F26" s="97">
        <v>0</v>
      </c>
      <c r="G26" s="97">
        <v>0</v>
      </c>
      <c r="H26"/>
      <c r="I26" s="28">
        <v>0</v>
      </c>
      <c r="J26" s="120"/>
      <c r="K26" s="97"/>
      <c r="L26" s="120"/>
      <c r="M26" s="120"/>
    </row>
    <row r="27" spans="1:14" ht="13.5" thickBot="1">
      <c r="A27" s="151" t="s">
        <v>128</v>
      </c>
      <c r="B27" s="48">
        <v>0</v>
      </c>
      <c r="C27" s="210"/>
      <c r="D27" s="56">
        <v>0</v>
      </c>
      <c r="E27" s="97"/>
      <c r="F27" s="97">
        <v>0</v>
      </c>
      <c r="G27" s="97">
        <v>0</v>
      </c>
      <c r="H27"/>
      <c r="I27" s="156">
        <f>B27*D27</f>
        <v>0</v>
      </c>
      <c r="J27" s="120"/>
      <c r="K27" s="97"/>
      <c r="L27" s="120"/>
      <c r="M27" s="120"/>
      <c r="N27" s="2">
        <f>N25-N18</f>
        <v>4312.5</v>
      </c>
    </row>
    <row r="28" spans="1:13" ht="14.25" thickBot="1" thickTop="1">
      <c r="A28" s="19" t="s">
        <v>99</v>
      </c>
      <c r="B28" s="55">
        <f>SUM(B15:B27)</f>
        <v>26</v>
      </c>
      <c r="C28" s="212"/>
      <c r="D28" s="55"/>
      <c r="E28" s="13">
        <f>SUM(E16:E27)</f>
        <v>0</v>
      </c>
      <c r="F28" s="13">
        <f>SUM(F16:F27)</f>
        <v>34400</v>
      </c>
      <c r="G28" s="13">
        <f>SUM(G16:G27)</f>
        <v>7800</v>
      </c>
      <c r="H28"/>
      <c r="I28" s="13">
        <f>SUM(I16:I27)</f>
        <v>37100</v>
      </c>
      <c r="J28" s="57"/>
      <c r="K28" s="13">
        <f>SUM(K16:K27)</f>
        <v>0</v>
      </c>
      <c r="L28" s="57"/>
      <c r="M28" s="57"/>
    </row>
    <row r="29" spans="1:13" ht="14.25" thickBot="1" thickTop="1">
      <c r="A29" s="24" t="s">
        <v>86</v>
      </c>
      <c r="B29" s="24"/>
      <c r="C29" s="213"/>
      <c r="D29" s="24"/>
      <c r="E29" s="25">
        <f>+E14+E28</f>
        <v>0</v>
      </c>
      <c r="F29" s="25">
        <f>+F14+F28</f>
        <v>71468</v>
      </c>
      <c r="G29" s="25">
        <f>+G14+G28</f>
        <v>7800</v>
      </c>
      <c r="H29"/>
      <c r="I29" s="25">
        <f>+I14+I28</f>
        <v>74600</v>
      </c>
      <c r="J29" s="57"/>
      <c r="K29" s="140">
        <f>K14+K28</f>
        <v>0</v>
      </c>
      <c r="L29" s="57"/>
      <c r="M29" s="57"/>
    </row>
    <row r="30" spans="1:8" ht="13.5" thickTop="1">
      <c r="A30" s="135" t="s">
        <v>153</v>
      </c>
      <c r="B30" s="33"/>
      <c r="C30" s="33"/>
      <c r="D30" s="33"/>
      <c r="E30" s="57"/>
      <c r="F30" s="57"/>
      <c r="G30" s="57"/>
      <c r="H30"/>
    </row>
    <row r="31" spans="1:8" ht="12.75">
      <c r="A31" s="98"/>
      <c r="B31" s="33"/>
      <c r="C31" s="33"/>
      <c r="D31" s="33"/>
      <c r="E31" s="57"/>
      <c r="F31" s="57"/>
      <c r="G31" s="57"/>
      <c r="H31"/>
    </row>
    <row r="32" spans="1:8" ht="12.75">
      <c r="A32" s="33"/>
      <c r="B32" s="33"/>
      <c r="C32" s="33"/>
      <c r="D32" s="33"/>
      <c r="E32" s="21"/>
      <c r="F32" s="21"/>
      <c r="G32" s="21"/>
      <c r="H32"/>
    </row>
    <row r="40" spans="1:4" ht="12.75">
      <c r="A40" s="2" t="s">
        <v>109</v>
      </c>
      <c r="B40" s="126"/>
      <c r="C40" s="126"/>
      <c r="D40" s="110"/>
    </row>
    <row r="41" spans="1:4" ht="12.75">
      <c r="A41" s="2" t="s">
        <v>110</v>
      </c>
      <c r="B41" s="126"/>
      <c r="C41" s="126"/>
      <c r="D41" s="110" t="s">
        <v>111</v>
      </c>
    </row>
    <row r="42" spans="2:4" ht="12.75">
      <c r="B42" s="126"/>
      <c r="C42" s="126"/>
      <c r="D42" s="110"/>
    </row>
    <row r="43" spans="2:4" ht="12.75">
      <c r="B43" s="126"/>
      <c r="C43" s="126"/>
      <c r="D43" s="110"/>
    </row>
    <row r="44" spans="2:4" ht="12.75">
      <c r="B44" s="126"/>
      <c r="C44" s="126"/>
      <c r="D44" s="127"/>
    </row>
    <row r="45" spans="2:4" ht="12.75">
      <c r="B45" s="126"/>
      <c r="C45" s="126"/>
      <c r="D45" s="127"/>
    </row>
    <row r="46" spans="2:4" ht="12.75">
      <c r="B46" s="126"/>
      <c r="C46" s="126"/>
      <c r="D46" s="127"/>
    </row>
    <row r="47" spans="2:4" ht="12.75">
      <c r="B47" s="126"/>
      <c r="C47" s="126"/>
      <c r="D47" s="127"/>
    </row>
    <row r="48" spans="2:4" ht="12.75">
      <c r="B48" s="126"/>
      <c r="C48" s="126"/>
      <c r="D48" s="127"/>
    </row>
    <row r="49" spans="2:4" ht="12.75">
      <c r="B49" s="126"/>
      <c r="C49" s="126"/>
      <c r="D49" s="127"/>
    </row>
    <row r="50" spans="2:4" ht="12.75">
      <c r="B50" s="126"/>
      <c r="C50" s="126"/>
      <c r="D50" s="127"/>
    </row>
    <row r="51" spans="2:4" ht="12.75">
      <c r="B51" s="126"/>
      <c r="C51" s="126"/>
      <c r="D51" s="127"/>
    </row>
    <row r="52" spans="2:4" ht="12.75">
      <c r="B52" s="126"/>
      <c r="C52" s="126"/>
      <c r="D52" s="127"/>
    </row>
    <row r="53" spans="2:3" ht="12.75">
      <c r="B53" s="126"/>
      <c r="C53" s="126"/>
    </row>
    <row r="54" spans="2:3" ht="12.75">
      <c r="B54" s="126"/>
      <c r="C54" s="126"/>
    </row>
    <row r="55" spans="2:3" ht="12.75">
      <c r="B55" s="126"/>
      <c r="C55" s="126"/>
    </row>
    <row r="56" spans="2:3" ht="12.75">
      <c r="B56" s="126"/>
      <c r="C56" s="126"/>
    </row>
    <row r="57" spans="2:3" ht="12.75">
      <c r="B57" s="126"/>
      <c r="C57" s="126"/>
    </row>
    <row r="58" spans="2:3" ht="12.75">
      <c r="B58" s="126"/>
      <c r="C58" s="126"/>
    </row>
    <row r="59" spans="2:3" ht="12.75">
      <c r="B59" s="126"/>
      <c r="C59" s="126"/>
    </row>
    <row r="60" spans="2:3" ht="12.75">
      <c r="B60" s="126"/>
      <c r="C60" s="126"/>
    </row>
    <row r="61" spans="2:3" ht="12.75">
      <c r="B61" s="126"/>
      <c r="C61" s="126"/>
    </row>
    <row r="62" spans="2:3" ht="12.75">
      <c r="B62" s="126"/>
      <c r="C62" s="126"/>
    </row>
    <row r="63" spans="2:3" ht="12.75">
      <c r="B63" s="126"/>
      <c r="C63" s="126"/>
    </row>
    <row r="64" spans="2:3" ht="12.75">
      <c r="B64" s="126"/>
      <c r="C64" s="126"/>
    </row>
    <row r="65" spans="2:3" ht="12.75">
      <c r="B65" s="126"/>
      <c r="C65" s="126"/>
    </row>
    <row r="66" spans="2:3" ht="12.75">
      <c r="B66" s="126"/>
      <c r="C66" s="126"/>
    </row>
    <row r="67" spans="2:3" ht="12.75">
      <c r="B67" s="126"/>
      <c r="C67" s="126"/>
    </row>
    <row r="68" spans="2:3" ht="12.75">
      <c r="B68" s="126"/>
      <c r="C68" s="126"/>
    </row>
    <row r="69" spans="2:3" ht="12.75">
      <c r="B69" s="126"/>
      <c r="C69" s="126"/>
    </row>
    <row r="70" spans="2:4" ht="12.75">
      <c r="B70" s="126"/>
      <c r="C70" s="126"/>
      <c r="D70" s="128"/>
    </row>
    <row r="71" spans="2:4" ht="12.75">
      <c r="B71" s="126"/>
      <c r="C71" s="126"/>
      <c r="D71" s="128"/>
    </row>
    <row r="72" spans="2:4" ht="12.75">
      <c r="B72" s="126"/>
      <c r="C72" s="126"/>
      <c r="D72" s="110"/>
    </row>
    <row r="73" spans="2:4" ht="12.75">
      <c r="B73" s="126"/>
      <c r="C73" s="126"/>
      <c r="D73" s="110"/>
    </row>
  </sheetData>
  <sheetProtection/>
  <mergeCells count="3">
    <mergeCell ref="A1:I1"/>
    <mergeCell ref="A2:I2"/>
    <mergeCell ref="A3:I3"/>
  </mergeCells>
  <printOptions horizontalCentered="1"/>
  <pageMargins left="0.5" right="0.5" top="0.5" bottom="0.75" header="0.5" footer="0.5"/>
  <pageSetup fitToHeight="1" fitToWidth="1" orientation="portrait" scale="72" r:id="rId1"/>
  <headerFooter alignWithMargins="0">
    <oddHeader>&amp;R&amp;"Arial,Regular"&amp;12ATTACHMENT A</oddHeader>
    <oddFooter>&amp;LASUCLA Student Support Services -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6.7109375" style="2" customWidth="1"/>
    <col min="2" max="2" width="5.7109375" style="2" customWidth="1"/>
    <col min="3" max="3" width="10.421875" style="2" customWidth="1"/>
    <col min="4" max="4" width="8.8515625" style="2" bestFit="1" customWidth="1"/>
    <col min="5" max="7" width="10.7109375" style="2" customWidth="1"/>
    <col min="8" max="8" width="3.7109375" style="2" customWidth="1"/>
    <col min="9" max="9" width="10.7109375" style="2" customWidth="1"/>
    <col min="10" max="10" width="2.57421875" style="2" customWidth="1"/>
    <col min="11" max="11" width="12.421875" style="2" customWidth="1"/>
    <col min="12" max="12" width="20.7109375" style="2" customWidth="1"/>
    <col min="13" max="13" width="2.57421875" style="2" customWidth="1"/>
    <col min="14" max="14" width="26.28125" style="2" customWidth="1"/>
    <col min="15" max="15" width="15.7109375" style="2" customWidth="1"/>
    <col min="16" max="16384" width="9.140625" style="2" customWidth="1"/>
  </cols>
  <sheetData>
    <row r="1" spans="1:13" ht="12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1"/>
      <c r="K1" s="1"/>
      <c r="L1" s="1"/>
      <c r="M1" s="1"/>
    </row>
    <row r="2" spans="1:13" ht="12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1"/>
      <c r="K2" s="1"/>
      <c r="L2" s="1"/>
      <c r="M2" s="1"/>
    </row>
    <row r="3" spans="1:13" ht="12.75">
      <c r="A3" s="239" t="s">
        <v>178</v>
      </c>
      <c r="B3" s="240"/>
      <c r="C3" s="240"/>
      <c r="D3" s="240"/>
      <c r="E3" s="240"/>
      <c r="F3" s="240"/>
      <c r="G3" s="240"/>
      <c r="H3" s="240"/>
      <c r="I3" s="240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92"/>
      <c r="J4" s="92"/>
      <c r="K4" s="92"/>
      <c r="L4" s="92"/>
      <c r="M4" s="92"/>
    </row>
    <row r="5" spans="1:13" ht="13.5" thickBot="1">
      <c r="A5" s="33"/>
      <c r="E5" s="26"/>
      <c r="H5"/>
      <c r="I5" s="110"/>
      <c r="J5" s="92"/>
      <c r="K5" s="110"/>
      <c r="L5" s="92"/>
      <c r="M5" s="92"/>
    </row>
    <row r="6" spans="1:13" ht="13.5" thickTop="1">
      <c r="A6" s="3"/>
      <c r="B6" s="3"/>
      <c r="C6" s="207" t="s">
        <v>177</v>
      </c>
      <c r="D6" s="125" t="s">
        <v>108</v>
      </c>
      <c r="E6" s="4"/>
      <c r="F6" s="204" t="s">
        <v>25</v>
      </c>
      <c r="G6" s="154" t="s">
        <v>68</v>
      </c>
      <c r="H6"/>
      <c r="I6" s="4" t="s">
        <v>25</v>
      </c>
      <c r="J6" s="116"/>
      <c r="K6" s="34" t="s">
        <v>68</v>
      </c>
      <c r="L6" s="116"/>
      <c r="M6" s="116"/>
    </row>
    <row r="7" spans="1:13" ht="12.75">
      <c r="A7" s="5"/>
      <c r="B7" s="46" t="s">
        <v>71</v>
      </c>
      <c r="C7" s="208" t="s">
        <v>72</v>
      </c>
      <c r="D7" s="46" t="s">
        <v>72</v>
      </c>
      <c r="E7" s="6"/>
      <c r="F7" s="6" t="s">
        <v>168</v>
      </c>
      <c r="G7" s="6" t="s">
        <v>168</v>
      </c>
      <c r="H7"/>
      <c r="I7" s="6" t="s">
        <v>172</v>
      </c>
      <c r="J7" s="89"/>
      <c r="K7" s="134"/>
      <c r="L7" s="89"/>
      <c r="M7" s="89"/>
    </row>
    <row r="8" spans="1:13" ht="13.5" thickBot="1">
      <c r="A8" s="7" t="s">
        <v>73</v>
      </c>
      <c r="B8" s="47"/>
      <c r="C8" s="209" t="s">
        <v>74</v>
      </c>
      <c r="D8" s="47" t="s">
        <v>74</v>
      </c>
      <c r="E8" s="8"/>
      <c r="F8" s="205" t="s">
        <v>29</v>
      </c>
      <c r="G8" s="155" t="s">
        <v>30</v>
      </c>
      <c r="H8"/>
      <c r="I8" s="8" t="s">
        <v>29</v>
      </c>
      <c r="J8" s="116"/>
      <c r="K8" s="137" t="s">
        <v>30</v>
      </c>
      <c r="L8" s="116"/>
      <c r="M8" s="116"/>
    </row>
    <row r="9" spans="1:13" ht="13.5" thickTop="1">
      <c r="A9" s="5"/>
      <c r="B9" s="46" t="s">
        <v>76</v>
      </c>
      <c r="C9" s="208"/>
      <c r="D9" s="46"/>
      <c r="E9" s="6"/>
      <c r="F9" s="6"/>
      <c r="G9" s="6"/>
      <c r="H9"/>
      <c r="I9" s="6"/>
      <c r="J9" s="116"/>
      <c r="K9" s="6"/>
      <c r="L9" s="116"/>
      <c r="M9" s="116"/>
    </row>
    <row r="10" spans="1:13" ht="12.75">
      <c r="A10" s="29"/>
      <c r="B10" s="48">
        <v>12</v>
      </c>
      <c r="C10" s="210"/>
      <c r="D10" s="56"/>
      <c r="E10" s="28"/>
      <c r="F10" s="28"/>
      <c r="G10" s="28"/>
      <c r="H10"/>
      <c r="I10" s="28"/>
      <c r="J10" s="117"/>
      <c r="K10" s="27"/>
      <c r="L10" s="118"/>
      <c r="M10" s="117"/>
    </row>
    <row r="11" spans="1:13" ht="12.75">
      <c r="A11" s="29"/>
      <c r="B11" s="48">
        <v>12</v>
      </c>
      <c r="C11" s="210"/>
      <c r="D11" s="56"/>
      <c r="E11" s="28"/>
      <c r="F11" s="28"/>
      <c r="G11" s="28"/>
      <c r="H11"/>
      <c r="I11" s="28"/>
      <c r="J11" s="117"/>
      <c r="K11" s="28"/>
      <c r="M11" s="117"/>
    </row>
    <row r="12" spans="1:13" ht="12.75">
      <c r="A12" s="29"/>
      <c r="B12" s="48">
        <v>12</v>
      </c>
      <c r="C12" s="210"/>
      <c r="D12" s="56"/>
      <c r="E12" s="28"/>
      <c r="F12" s="28"/>
      <c r="G12" s="28"/>
      <c r="H12"/>
      <c r="I12" s="28"/>
      <c r="J12" s="117"/>
      <c r="K12" s="28"/>
      <c r="L12" s="118"/>
      <c r="M12" s="117"/>
    </row>
    <row r="13" spans="1:13" ht="13.5" thickBot="1">
      <c r="A13" s="29"/>
      <c r="B13" s="48">
        <v>12</v>
      </c>
      <c r="C13" s="210"/>
      <c r="D13" s="56"/>
      <c r="E13" s="27"/>
      <c r="F13" s="27"/>
      <c r="G13" s="27"/>
      <c r="H13"/>
      <c r="I13" s="156"/>
      <c r="J13" s="118"/>
      <c r="K13" s="136"/>
      <c r="L13" s="118"/>
      <c r="M13" s="118"/>
    </row>
    <row r="14" spans="1:13" ht="14.25" thickBot="1" thickTop="1">
      <c r="A14" s="30" t="s">
        <v>81</v>
      </c>
      <c r="B14" s="30"/>
      <c r="C14" s="211"/>
      <c r="D14" s="30"/>
      <c r="E14" s="31"/>
      <c r="F14" s="31">
        <f>SUM(F10:F13)</f>
        <v>0</v>
      </c>
      <c r="G14" s="31">
        <f>SUM(G10:G13)</f>
        <v>0</v>
      </c>
      <c r="H14"/>
      <c r="I14" s="31">
        <f>SUM(I10:I13)</f>
        <v>0</v>
      </c>
      <c r="J14" s="119"/>
      <c r="K14" s="31">
        <f>SUM(K10:K13)</f>
        <v>0</v>
      </c>
      <c r="L14" s="119"/>
      <c r="M14" s="119"/>
    </row>
    <row r="15" spans="1:13" ht="13.5" thickTop="1">
      <c r="A15" s="29"/>
      <c r="B15" s="46" t="s">
        <v>82</v>
      </c>
      <c r="C15" s="208"/>
      <c r="D15" s="46"/>
      <c r="E15" s="32"/>
      <c r="F15" s="97"/>
      <c r="G15" s="32"/>
      <c r="H15"/>
      <c r="I15" s="97"/>
      <c r="J15" s="120"/>
      <c r="K15" s="138"/>
      <c r="L15" s="120"/>
      <c r="M15" s="120"/>
    </row>
    <row r="16" spans="1:13" ht="12.75">
      <c r="A16" s="197" t="s">
        <v>188</v>
      </c>
      <c r="B16" s="46"/>
      <c r="C16" s="208"/>
      <c r="D16" s="56"/>
      <c r="E16" s="153"/>
      <c r="F16" s="32"/>
      <c r="G16" s="153"/>
      <c r="H16"/>
      <c r="I16" s="28">
        <f>B16*D16</f>
        <v>0</v>
      </c>
      <c r="J16" s="120"/>
      <c r="K16" s="97"/>
      <c r="L16" s="57"/>
      <c r="M16" s="120"/>
    </row>
    <row r="17" spans="1:13" ht="12.75">
      <c r="A17" s="29" t="s">
        <v>180</v>
      </c>
      <c r="B17" s="48">
        <v>3</v>
      </c>
      <c r="C17" s="210"/>
      <c r="D17" s="56">
        <v>1200</v>
      </c>
      <c r="E17" s="153"/>
      <c r="F17" s="32"/>
      <c r="G17" s="153"/>
      <c r="H17"/>
      <c r="I17" s="28">
        <f>B17*D17</f>
        <v>3600</v>
      </c>
      <c r="J17" s="120"/>
      <c r="K17" s="97"/>
      <c r="L17" s="120"/>
      <c r="M17" s="120"/>
    </row>
    <row r="18" spans="1:13" ht="12.75">
      <c r="A18" s="225" t="s">
        <v>186</v>
      </c>
      <c r="B18" s="48">
        <v>3</v>
      </c>
      <c r="C18" s="210"/>
      <c r="D18" s="56">
        <v>1600</v>
      </c>
      <c r="E18" s="153"/>
      <c r="F18" s="32"/>
      <c r="G18" s="153"/>
      <c r="H18"/>
      <c r="I18" s="28">
        <f>B18*D18</f>
        <v>4800</v>
      </c>
      <c r="J18" s="120"/>
      <c r="K18" s="97"/>
      <c r="L18" s="120"/>
      <c r="M18" s="120"/>
    </row>
    <row r="19" spans="1:13" ht="12.75">
      <c r="A19" s="29"/>
      <c r="B19" s="48"/>
      <c r="C19" s="210"/>
      <c r="D19" s="56"/>
      <c r="E19" s="97"/>
      <c r="F19" s="32"/>
      <c r="G19" s="97"/>
      <c r="H19"/>
      <c r="I19" s="28"/>
      <c r="J19" s="120"/>
      <c r="K19" s="139"/>
      <c r="L19" s="120"/>
      <c r="M19" s="120"/>
    </row>
    <row r="20" spans="1:13" ht="12.75">
      <c r="A20" s="29"/>
      <c r="B20" s="48"/>
      <c r="C20" s="210"/>
      <c r="D20" s="56"/>
      <c r="E20" s="97"/>
      <c r="F20" s="32"/>
      <c r="G20" s="97"/>
      <c r="H20"/>
      <c r="I20" s="28"/>
      <c r="J20" s="120"/>
      <c r="K20" s="139"/>
      <c r="L20" s="120"/>
      <c r="M20" s="120"/>
    </row>
    <row r="21" spans="1:13" ht="12.75">
      <c r="A21" s="29" t="s">
        <v>179</v>
      </c>
      <c r="B21" s="48">
        <v>3</v>
      </c>
      <c r="C21" s="210"/>
      <c r="D21" s="56">
        <v>1200</v>
      </c>
      <c r="E21" s="97"/>
      <c r="F21" s="32"/>
      <c r="G21" s="97"/>
      <c r="H21"/>
      <c r="I21" s="28">
        <f>B21*D21</f>
        <v>3600</v>
      </c>
      <c r="J21" s="120"/>
      <c r="K21" s="97"/>
      <c r="L21" s="120"/>
      <c r="M21" s="120"/>
    </row>
    <row r="22" spans="1:13" ht="12.75">
      <c r="A22" s="29" t="s">
        <v>181</v>
      </c>
      <c r="B22" s="48" t="s">
        <v>134</v>
      </c>
      <c r="C22" s="210"/>
      <c r="D22" s="56">
        <v>800</v>
      </c>
      <c r="E22" s="97"/>
      <c r="F22" s="32"/>
      <c r="G22" s="97"/>
      <c r="H22"/>
      <c r="I22" s="28">
        <f>B22*D22</f>
        <v>2400</v>
      </c>
      <c r="J22" s="120"/>
      <c r="K22" s="97"/>
      <c r="L22" s="120"/>
      <c r="M22" s="120"/>
    </row>
    <row r="23" spans="1:13" ht="12.75">
      <c r="A23" s="29" t="s">
        <v>182</v>
      </c>
      <c r="B23" s="48">
        <v>3</v>
      </c>
      <c r="C23" s="210"/>
      <c r="D23" s="56">
        <v>800</v>
      </c>
      <c r="E23" s="176"/>
      <c r="F23" s="32"/>
      <c r="G23" s="97"/>
      <c r="H23"/>
      <c r="I23" s="28">
        <f>B23*D23</f>
        <v>2400</v>
      </c>
      <c r="J23" s="120"/>
      <c r="K23" s="97"/>
      <c r="L23" s="57"/>
      <c r="M23" s="120"/>
    </row>
    <row r="24" spans="1:13" ht="12.75">
      <c r="A24" s="29" t="s">
        <v>187</v>
      </c>
      <c r="B24" s="48">
        <v>3</v>
      </c>
      <c r="C24" s="210"/>
      <c r="D24" s="56">
        <v>800</v>
      </c>
      <c r="E24" s="153"/>
      <c r="F24" s="32"/>
      <c r="G24" s="153"/>
      <c r="H24"/>
      <c r="I24" s="28">
        <f>B24*D24</f>
        <v>2400</v>
      </c>
      <c r="J24" s="120"/>
      <c r="K24" s="97"/>
      <c r="L24" s="57"/>
      <c r="M24" s="120"/>
    </row>
    <row r="25" spans="1:13" ht="12.75">
      <c r="A25" s="29"/>
      <c r="B25" s="48"/>
      <c r="C25" s="210"/>
      <c r="D25" s="56"/>
      <c r="E25" s="153"/>
      <c r="F25" s="32"/>
      <c r="G25" s="153"/>
      <c r="H25"/>
      <c r="I25" s="28"/>
      <c r="J25" s="120"/>
      <c r="K25" s="97"/>
      <c r="L25" s="120"/>
      <c r="M25" s="120"/>
    </row>
    <row r="26" spans="1:13" ht="12.75">
      <c r="A26" s="152"/>
      <c r="B26" s="48"/>
      <c r="C26" s="210"/>
      <c r="D26" s="56"/>
      <c r="E26" s="97"/>
      <c r="F26" s="97">
        <v>0</v>
      </c>
      <c r="G26" s="97">
        <v>0</v>
      </c>
      <c r="H26"/>
      <c r="I26" s="28">
        <v>0</v>
      </c>
      <c r="J26" s="120"/>
      <c r="K26" s="97"/>
      <c r="L26" s="120"/>
      <c r="M26" s="120"/>
    </row>
    <row r="27" spans="1:13" ht="13.5" thickBot="1">
      <c r="A27" s="151"/>
      <c r="B27" s="48"/>
      <c r="C27" s="210"/>
      <c r="D27" s="56"/>
      <c r="E27" s="97"/>
      <c r="F27" s="97">
        <v>0</v>
      </c>
      <c r="G27" s="97">
        <v>0</v>
      </c>
      <c r="H27"/>
      <c r="I27" s="28">
        <f>B27*D27</f>
        <v>0</v>
      </c>
      <c r="J27" s="120"/>
      <c r="K27" s="97"/>
      <c r="L27" s="120"/>
      <c r="M27" s="120"/>
    </row>
    <row r="28" spans="1:13" ht="14.25" thickBot="1" thickTop="1">
      <c r="A28" s="19" t="s">
        <v>99</v>
      </c>
      <c r="B28" s="55">
        <f>SUM(B15:B27)</f>
        <v>15</v>
      </c>
      <c r="C28" s="212"/>
      <c r="D28" s="55"/>
      <c r="E28" s="13">
        <f>SUM(E16:E27)</f>
        <v>0</v>
      </c>
      <c r="F28" s="13">
        <f>SUM(F16:F27)</f>
        <v>0</v>
      </c>
      <c r="G28" s="13">
        <f>SUM(G16:G27)</f>
        <v>0</v>
      </c>
      <c r="H28"/>
      <c r="I28" s="13">
        <f>SUM(I16:I27)</f>
        <v>19200</v>
      </c>
      <c r="J28" s="57"/>
      <c r="K28" s="13">
        <f>SUM(K16:K27)</f>
        <v>0</v>
      </c>
      <c r="L28" s="57"/>
      <c r="M28" s="57"/>
    </row>
    <row r="29" spans="1:13" ht="14.25" thickBot="1" thickTop="1">
      <c r="A29" s="24" t="s">
        <v>86</v>
      </c>
      <c r="B29" s="24"/>
      <c r="C29" s="213"/>
      <c r="D29" s="24"/>
      <c r="E29" s="25">
        <f>+E14+E28</f>
        <v>0</v>
      </c>
      <c r="F29" s="25">
        <f>+F14+F28</f>
        <v>0</v>
      </c>
      <c r="G29" s="25">
        <f>+G14+G28</f>
        <v>0</v>
      </c>
      <c r="H29"/>
      <c r="I29" s="25">
        <f>+I14+I28</f>
        <v>19200</v>
      </c>
      <c r="J29" s="57"/>
      <c r="K29" s="140">
        <f>K14+K28</f>
        <v>0</v>
      </c>
      <c r="L29" s="57"/>
      <c r="M29" s="57"/>
    </row>
    <row r="30" spans="1:8" ht="13.5" thickTop="1">
      <c r="A30" s="135"/>
      <c r="B30" s="33"/>
      <c r="C30" s="33"/>
      <c r="D30" s="33"/>
      <c r="E30" s="57"/>
      <c r="F30" s="57"/>
      <c r="G30" s="57"/>
      <c r="H30"/>
    </row>
    <row r="31" spans="1:8" ht="12.75">
      <c r="A31" s="98"/>
      <c r="B31" s="33"/>
      <c r="C31" s="33"/>
      <c r="D31" s="33"/>
      <c r="E31" s="57"/>
      <c r="F31" s="57"/>
      <c r="G31" s="57"/>
      <c r="H31"/>
    </row>
    <row r="32" spans="1:8" ht="12.75">
      <c r="A32" s="33"/>
      <c r="B32" s="33"/>
      <c r="C32" s="33"/>
      <c r="D32" s="33"/>
      <c r="E32" s="21"/>
      <c r="F32" s="21"/>
      <c r="G32" s="21"/>
      <c r="H32"/>
    </row>
    <row r="40" spans="2:4" ht="12.75">
      <c r="B40" s="126"/>
      <c r="C40" s="126"/>
      <c r="D40" s="110"/>
    </row>
    <row r="41" spans="2:4" ht="12.75">
      <c r="B41" s="126"/>
      <c r="C41" s="126"/>
      <c r="D41" s="110"/>
    </row>
    <row r="42" spans="2:4" ht="12.75">
      <c r="B42" s="126"/>
      <c r="C42" s="126"/>
      <c r="D42" s="110"/>
    </row>
    <row r="43" spans="2:4" ht="12.75">
      <c r="B43" s="126"/>
      <c r="C43" s="126"/>
      <c r="D43" s="110"/>
    </row>
    <row r="44" spans="2:4" ht="12.75">
      <c r="B44" s="126"/>
      <c r="C44" s="126"/>
      <c r="D44" s="127"/>
    </row>
    <row r="45" spans="2:4" ht="12.75">
      <c r="B45" s="126"/>
      <c r="C45" s="126"/>
      <c r="D45" s="127"/>
    </row>
    <row r="46" spans="2:4" ht="12.75">
      <c r="B46" s="126"/>
      <c r="C46" s="126"/>
      <c r="D46" s="127"/>
    </row>
    <row r="47" spans="2:4" ht="12.75">
      <c r="B47" s="126"/>
      <c r="C47" s="126"/>
      <c r="D47" s="127"/>
    </row>
    <row r="48" spans="2:4" ht="12.75">
      <c r="B48" s="126"/>
      <c r="C48" s="126"/>
      <c r="D48" s="127"/>
    </row>
    <row r="49" spans="2:4" ht="12.75">
      <c r="B49" s="126"/>
      <c r="C49" s="126"/>
      <c r="D49" s="127"/>
    </row>
    <row r="50" spans="2:4" ht="12.75">
      <c r="B50" s="126"/>
      <c r="C50" s="126"/>
      <c r="D50" s="127"/>
    </row>
    <row r="51" spans="2:4" ht="12.75">
      <c r="B51" s="126"/>
      <c r="C51" s="126"/>
      <c r="D51" s="127"/>
    </row>
    <row r="52" spans="2:4" ht="12.75">
      <c r="B52" s="126"/>
      <c r="C52" s="126"/>
      <c r="D52" s="127"/>
    </row>
    <row r="53" spans="2:3" ht="12.75">
      <c r="B53" s="126"/>
      <c r="C53" s="126"/>
    </row>
    <row r="54" spans="2:3" ht="12.75">
      <c r="B54" s="126"/>
      <c r="C54" s="126"/>
    </row>
    <row r="55" spans="2:3" ht="12.75">
      <c r="B55" s="126"/>
      <c r="C55" s="126"/>
    </row>
    <row r="56" spans="2:3" ht="12.75">
      <c r="B56" s="126"/>
      <c r="C56" s="126"/>
    </row>
    <row r="57" spans="2:3" ht="12.75">
      <c r="B57" s="126"/>
      <c r="C57" s="126"/>
    </row>
    <row r="58" spans="2:3" ht="12.75">
      <c r="B58" s="126"/>
      <c r="C58" s="126"/>
    </row>
    <row r="59" spans="2:3" ht="12.75">
      <c r="B59" s="126"/>
      <c r="C59" s="126"/>
    </row>
    <row r="60" spans="2:3" ht="12.75">
      <c r="B60" s="126"/>
      <c r="C60" s="126"/>
    </row>
    <row r="61" spans="2:3" ht="12.75">
      <c r="B61" s="126"/>
      <c r="C61" s="126"/>
    </row>
    <row r="62" spans="2:3" ht="12.75">
      <c r="B62" s="126"/>
      <c r="C62" s="126"/>
    </row>
    <row r="63" spans="2:3" ht="12.75">
      <c r="B63" s="126"/>
      <c r="C63" s="126"/>
    </row>
    <row r="64" spans="2:3" ht="12.75">
      <c r="B64" s="126"/>
      <c r="C64" s="126"/>
    </row>
    <row r="65" spans="2:3" ht="12.75">
      <c r="B65" s="126"/>
      <c r="C65" s="126"/>
    </row>
    <row r="66" spans="2:3" ht="12.75">
      <c r="B66" s="126"/>
      <c r="C66" s="126"/>
    </row>
    <row r="67" spans="2:3" ht="12.75">
      <c r="B67" s="126"/>
      <c r="C67" s="126"/>
    </row>
    <row r="68" spans="2:3" ht="12.75">
      <c r="B68" s="126"/>
      <c r="C68" s="126"/>
    </row>
    <row r="69" spans="2:3" ht="12.75">
      <c r="B69" s="126"/>
      <c r="C69" s="126"/>
    </row>
    <row r="70" spans="2:4" ht="12.75">
      <c r="B70" s="126"/>
      <c r="C70" s="126"/>
      <c r="D70" s="128"/>
    </row>
    <row r="71" spans="2:4" ht="12.75">
      <c r="B71" s="126"/>
      <c r="C71" s="126"/>
      <c r="D71" s="128"/>
    </row>
    <row r="72" spans="2:4" ht="12.75">
      <c r="B72" s="126"/>
      <c r="C72" s="126"/>
      <c r="D72" s="110"/>
    </row>
    <row r="73" spans="2:4" ht="12.75">
      <c r="B73" s="126"/>
      <c r="C73" s="126"/>
      <c r="D73" s="110"/>
    </row>
  </sheetData>
  <sheetProtection/>
  <mergeCells count="3">
    <mergeCell ref="A1:I1"/>
    <mergeCell ref="A2:I2"/>
    <mergeCell ref="A3:I3"/>
  </mergeCells>
  <printOptions horizontalCentered="1"/>
  <pageMargins left="0.5" right="0.5" top="0.5" bottom="0.75" header="0.5" footer="0.5"/>
  <pageSetup fitToHeight="1" fitToWidth="1" orientation="portrait" scale="72" r:id="rId1"/>
  <headerFooter alignWithMargins="0">
    <oddHeader>&amp;R&amp;"Arial,Regular"&amp;12ATTACHMENT A</oddHeader>
    <oddFooter>&amp;LASUCLA Student Support Services - 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4.28125" style="51" customWidth="1"/>
    <col min="2" max="2" width="9.140625" style="51" customWidth="1"/>
    <col min="3" max="3" width="9.7109375" style="51" customWidth="1"/>
    <col min="4" max="4" width="9.140625" style="51" customWidth="1"/>
    <col min="5" max="5" width="10.8515625" style="51" customWidth="1"/>
    <col min="6" max="16384" width="9.140625" style="51" customWidth="1"/>
  </cols>
  <sheetData>
    <row r="1" spans="1:8" ht="12.75">
      <c r="A1" s="167" t="s">
        <v>0</v>
      </c>
      <c r="B1" s="94"/>
      <c r="C1" s="94"/>
      <c r="D1" s="94"/>
      <c r="E1" s="94"/>
      <c r="F1" s="94"/>
      <c r="G1" s="94"/>
      <c r="H1" s="94"/>
    </row>
    <row r="2" spans="1:8" ht="12.75">
      <c r="A2" s="167" t="s">
        <v>1</v>
      </c>
      <c r="B2" s="94"/>
      <c r="C2" s="94"/>
      <c r="D2" s="94"/>
      <c r="E2" s="94"/>
      <c r="F2" s="94"/>
      <c r="G2" s="94"/>
      <c r="H2" s="94"/>
    </row>
    <row r="3" spans="1:8" ht="12.75">
      <c r="A3" s="167" t="s">
        <v>184</v>
      </c>
      <c r="B3" s="94"/>
      <c r="C3" s="94"/>
      <c r="D3" s="94"/>
      <c r="E3" s="94"/>
      <c r="F3" s="94"/>
      <c r="G3" s="94"/>
      <c r="H3" s="94"/>
    </row>
    <row r="4" spans="1:8" ht="12.75">
      <c r="A4" s="96"/>
      <c r="B4" s="94"/>
      <c r="C4" s="94"/>
      <c r="D4" s="94"/>
      <c r="E4" s="94"/>
      <c r="F4" s="94"/>
      <c r="G4" s="53"/>
      <c r="H4" s="94"/>
    </row>
    <row r="5" spans="3:7" ht="12.75">
      <c r="C5" s="53" t="s">
        <v>87</v>
      </c>
      <c r="E5" s="51" t="s">
        <v>88</v>
      </c>
      <c r="G5" s="94" t="s">
        <v>87</v>
      </c>
    </row>
    <row r="6" spans="1:7" ht="12.75">
      <c r="A6" s="51" t="s">
        <v>89</v>
      </c>
      <c r="C6" s="53"/>
      <c r="E6" s="53"/>
      <c r="G6" s="1" t="s">
        <v>172</v>
      </c>
    </row>
    <row r="8" spans="1:7" ht="12.75">
      <c r="A8" s="51" t="s">
        <v>90</v>
      </c>
      <c r="C8" s="91">
        <v>13466</v>
      </c>
      <c r="D8" s="91"/>
      <c r="E8" s="91">
        <v>0</v>
      </c>
      <c r="G8" s="95">
        <f>'RevOBUD.XLS '!J23</f>
        <v>19200</v>
      </c>
    </row>
    <row r="9" spans="3:5" ht="12.75">
      <c r="C9" s="91"/>
      <c r="D9" s="91"/>
      <c r="E9" s="91"/>
    </row>
    <row r="10" spans="1:7" ht="12.75">
      <c r="A10" s="51" t="s">
        <v>91</v>
      </c>
      <c r="C10" s="91">
        <f>'Staff Director Stipends'!I28</f>
        <v>19200</v>
      </c>
      <c r="D10" s="91"/>
      <c r="E10" s="91">
        <v>0</v>
      </c>
      <c r="G10" s="95">
        <f>'RevOBUD.XLS '!J25</f>
        <v>37100</v>
      </c>
    </row>
    <row r="11" spans="3:5" ht="12.75">
      <c r="C11" s="91"/>
      <c r="D11" s="91"/>
      <c r="E11" s="91"/>
    </row>
    <row r="12" spans="1:7" ht="12.75">
      <c r="A12" s="51" t="s">
        <v>92</v>
      </c>
      <c r="C12" s="91">
        <f>'Staff Director Stipends'!I14</f>
        <v>0</v>
      </c>
      <c r="D12" s="91"/>
      <c r="E12" s="91">
        <v>0</v>
      </c>
      <c r="G12" s="95">
        <f>'RevOBUD.XLS '!J24</f>
        <v>37500</v>
      </c>
    </row>
    <row r="13" spans="3:5" ht="12.75">
      <c r="C13" s="91"/>
      <c r="D13" s="91"/>
      <c r="E13" s="91"/>
    </row>
    <row r="14" spans="1:7" ht="12.75">
      <c r="A14" s="51" t="s">
        <v>93</v>
      </c>
      <c r="C14" s="112">
        <f>SUM(C8:C12)</f>
        <v>32666</v>
      </c>
      <c r="D14" s="91"/>
      <c r="E14" s="112">
        <f>SUM(E8:E12)</f>
        <v>0</v>
      </c>
      <c r="G14" s="113">
        <f>SUM(G8:G13)</f>
        <v>93800</v>
      </c>
    </row>
    <row r="16" spans="1:7" ht="12.75">
      <c r="A16" s="52" t="s">
        <v>94</v>
      </c>
      <c r="C16" s="90">
        <v>0.01</v>
      </c>
      <c r="D16" s="90"/>
      <c r="E16" s="51">
        <v>0.0424</v>
      </c>
      <c r="G16" s="51">
        <v>0.0207</v>
      </c>
    </row>
    <row r="18" spans="1:7" ht="13.5" thickBot="1">
      <c r="A18" s="51" t="s">
        <v>43</v>
      </c>
      <c r="C18" s="54">
        <f>+C14*C16</f>
        <v>326.66</v>
      </c>
      <c r="D18" s="93"/>
      <c r="E18" s="54">
        <f>+E14*E16</f>
        <v>0</v>
      </c>
      <c r="G18" s="54">
        <f>G14*G16</f>
        <v>1941.6599999999999</v>
      </c>
    </row>
    <row r="19" ht="13.5" thickTop="1"/>
    <row r="21" ht="12.75">
      <c r="A21" s="110" t="s">
        <v>157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Header>&amp;C&amp;"Arial,Regular"&amp;A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asucla</dc:creator>
  <cp:keywords/>
  <dc:description/>
  <cp:lastModifiedBy>Tran, Vuong</cp:lastModifiedBy>
  <cp:lastPrinted>2018-11-20T01:17:19Z</cp:lastPrinted>
  <dcterms:created xsi:type="dcterms:W3CDTF">2002-02-11T17:54:26Z</dcterms:created>
  <dcterms:modified xsi:type="dcterms:W3CDTF">2018-11-29T20:36:19Z</dcterms:modified>
  <cp:category/>
  <cp:version/>
  <cp:contentType/>
  <cp:contentStatus/>
</cp:coreProperties>
</file>