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X:\Student Govt\GSA\BUDGET\21-22\"/>
    </mc:Choice>
  </mc:AlternateContent>
  <xr:revisionPtr revIDLastSave="0" documentId="13_ncr:1_{EA3114F2-DB9D-4E77-BBA7-356024392259}" xr6:coauthVersionLast="36" xr6:coauthVersionMax="36" xr10:uidLastSave="{00000000-0000-0000-0000-000000000000}"/>
  <bookViews>
    <workbookView xWindow="0" yWindow="0" windowWidth="19005" windowHeight="7050" xr2:uid="{00000000-000D-0000-FFFF-FFFF00000000}"/>
  </bookViews>
  <sheets>
    <sheet name="OBUD.XLS " sheetId="1" r:id="rId1"/>
    <sheet name="FEECALC" sheetId="2" r:id="rId2"/>
    <sheet name="STIPENDS " sheetId="3" r:id="rId3"/>
    <sheet name="Staff Director Stipends" sheetId="4" r:id="rId4"/>
    <sheet name="TAXES" sheetId="5" r:id="rId5"/>
  </sheets>
  <definedNames>
    <definedName name="MONTH">#REF!</definedName>
    <definedName name="Print_Area_MI" localSheetId="1">FEECALC!$O$5:$AB$53</definedName>
    <definedName name="Print_Area_MI">#REF!</definedName>
  </definedNames>
  <calcPr calcId="191029"/>
  <extLst>
    <ext uri="GoogleSheetsCustomDataVersion1">
      <go:sheetsCustomData xmlns:go="http://customooxmlschemas.google.com/" r:id="rId9" roundtripDataSignature="AMtx7mj5u2Vj8LuW9u7SmTlt2VpguDQugw=="/>
    </ext>
  </extLst>
</workbook>
</file>

<file path=xl/calcChain.xml><?xml version="1.0" encoding="utf-8"?>
<calcChain xmlns="http://schemas.openxmlformats.org/spreadsheetml/2006/main">
  <c r="J99" i="1" l="1"/>
  <c r="M98" i="1"/>
  <c r="J61" i="1" l="1"/>
  <c r="J15" i="1"/>
  <c r="L98" i="1"/>
  <c r="I63" i="1" l="1"/>
  <c r="K63" i="1" s="1"/>
  <c r="J65" i="1" l="1"/>
  <c r="J64" i="1"/>
  <c r="J71" i="1"/>
  <c r="J70" i="1"/>
  <c r="J68" i="1"/>
  <c r="J28" i="1"/>
  <c r="J13" i="1"/>
  <c r="J44" i="1"/>
  <c r="J38" i="1"/>
  <c r="K98" i="1" l="1"/>
  <c r="J98" i="1"/>
  <c r="K64" i="1"/>
  <c r="K65" i="1"/>
  <c r="I66" i="1"/>
  <c r="K67" i="1"/>
  <c r="K68" i="1"/>
  <c r="K69" i="1"/>
  <c r="K71" i="1"/>
  <c r="I72" i="1"/>
  <c r="K72" i="1" s="1"/>
  <c r="K73" i="1"/>
  <c r="I62" i="1"/>
  <c r="K62" i="1" s="1"/>
  <c r="I61" i="1"/>
  <c r="K25" i="1"/>
  <c r="K28" i="1"/>
  <c r="K27" i="1"/>
  <c r="I23" i="1"/>
  <c r="K23" i="1" s="1"/>
  <c r="G8" i="5"/>
  <c r="I24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13" i="1"/>
  <c r="I9" i="1"/>
  <c r="K9" i="1" s="1"/>
  <c r="K10" i="1"/>
  <c r="I11" i="1"/>
  <c r="K11" i="1" s="1"/>
  <c r="K12" i="1"/>
  <c r="I14" i="1"/>
  <c r="K14" i="1" s="1"/>
  <c r="K15" i="1"/>
  <c r="K16" i="1"/>
  <c r="K17" i="1"/>
  <c r="K18" i="1"/>
  <c r="K19" i="1"/>
  <c r="K20" i="1"/>
  <c r="I8" i="1"/>
  <c r="K8" i="1" s="1"/>
  <c r="I7" i="1"/>
  <c r="K7" i="1" s="1"/>
  <c r="J21" i="1"/>
  <c r="J26" i="1"/>
  <c r="J59" i="1" s="1"/>
  <c r="J74" i="1"/>
  <c r="D71" i="1"/>
  <c r="D70" i="1"/>
  <c r="D68" i="1"/>
  <c r="D65" i="1"/>
  <c r="D64" i="1"/>
  <c r="D28" i="1"/>
  <c r="D61" i="1"/>
  <c r="D44" i="1"/>
  <c r="D38" i="1"/>
  <c r="D23" i="1"/>
  <c r="D17" i="1"/>
  <c r="D21" i="1" s="1"/>
  <c r="I31" i="3"/>
  <c r="I33" i="4"/>
  <c r="G13" i="1"/>
  <c r="G21" i="1" s="1"/>
  <c r="G26" i="1"/>
  <c r="G59" i="1" s="1"/>
  <c r="I22" i="3"/>
  <c r="I30" i="3"/>
  <c r="I29" i="3"/>
  <c r="D29" i="3"/>
  <c r="F29" i="3"/>
  <c r="B29" i="3"/>
  <c r="I23" i="3"/>
  <c r="I20" i="3"/>
  <c r="E18" i="5"/>
  <c r="E14" i="5"/>
  <c r="K28" i="4"/>
  <c r="G28" i="4"/>
  <c r="F28" i="4"/>
  <c r="E28" i="4"/>
  <c r="E29" i="4"/>
  <c r="B28" i="4"/>
  <c r="I27" i="4"/>
  <c r="I23" i="4"/>
  <c r="I22" i="4"/>
  <c r="I21" i="4"/>
  <c r="I19" i="4"/>
  <c r="I18" i="4"/>
  <c r="I17" i="4"/>
  <c r="I16" i="4"/>
  <c r="I28" i="4"/>
  <c r="K14" i="4"/>
  <c r="K29" i="4"/>
  <c r="I14" i="4"/>
  <c r="G14" i="4"/>
  <c r="G29" i="4"/>
  <c r="F14" i="4"/>
  <c r="F29" i="4"/>
  <c r="K31" i="3"/>
  <c r="G31" i="3"/>
  <c r="F31" i="3"/>
  <c r="E31" i="3"/>
  <c r="E32" i="3"/>
  <c r="B31" i="3"/>
  <c r="F30" i="3"/>
  <c r="D30" i="3"/>
  <c r="B30" i="3"/>
  <c r="I26" i="3"/>
  <c r="I21" i="3"/>
  <c r="I19" i="3"/>
  <c r="I18" i="3"/>
  <c r="I17" i="3"/>
  <c r="I16" i="3"/>
  <c r="K14" i="3"/>
  <c r="G14" i="3"/>
  <c r="I13" i="3"/>
  <c r="I12" i="3"/>
  <c r="I11" i="3"/>
  <c r="I10" i="3"/>
  <c r="L10" i="3"/>
  <c r="K66" i="2"/>
  <c r="F61" i="2"/>
  <c r="D61" i="2"/>
  <c r="F60" i="2"/>
  <c r="D60" i="2"/>
  <c r="F55" i="2"/>
  <c r="D55" i="2"/>
  <c r="F54" i="2"/>
  <c r="D54" i="2"/>
  <c r="F49" i="2"/>
  <c r="D49" i="2"/>
  <c r="D48" i="2"/>
  <c r="F42" i="2"/>
  <c r="D42" i="2"/>
  <c r="F41" i="2"/>
  <c r="D41" i="2"/>
  <c r="K36" i="2"/>
  <c r="F36" i="2"/>
  <c r="D36" i="2"/>
  <c r="B36" i="2"/>
  <c r="F35" i="2"/>
  <c r="D35" i="2"/>
  <c r="D29" i="2"/>
  <c r="F28" i="2"/>
  <c r="D28" i="2"/>
  <c r="F19" i="2"/>
  <c r="K19" i="2"/>
  <c r="F18" i="2"/>
  <c r="K18" i="2"/>
  <c r="K17" i="2"/>
  <c r="F17" i="2"/>
  <c r="B17" i="2"/>
  <c r="F48" i="2"/>
  <c r="F16" i="2"/>
  <c r="K16" i="2"/>
  <c r="K15" i="2"/>
  <c r="F15" i="2"/>
  <c r="F14" i="2"/>
  <c r="K14" i="2"/>
  <c r="K13" i="2"/>
  <c r="F13" i="2"/>
  <c r="B12" i="2"/>
  <c r="F12" i="2"/>
  <c r="K12" i="2"/>
  <c r="B11" i="2"/>
  <c r="F11" i="2"/>
  <c r="K11" i="2"/>
  <c r="K10" i="2"/>
  <c r="F10" i="2"/>
  <c r="F9" i="2"/>
  <c r="K9" i="2"/>
  <c r="B8" i="2"/>
  <c r="B49" i="2"/>
  <c r="K49" i="2"/>
  <c r="K7" i="2"/>
  <c r="F7" i="2"/>
  <c r="B7" i="2"/>
  <c r="B54" i="2"/>
  <c r="K54" i="2"/>
  <c r="G98" i="1"/>
  <c r="I97" i="1"/>
  <c r="M97" i="1" s="1"/>
  <c r="I96" i="1"/>
  <c r="M96" i="1" s="1"/>
  <c r="I95" i="1"/>
  <c r="M95" i="1" s="1"/>
  <c r="I94" i="1"/>
  <c r="M94" i="1" s="1"/>
  <c r="I93" i="1"/>
  <c r="M93" i="1" s="1"/>
  <c r="I92" i="1"/>
  <c r="M92" i="1" s="1"/>
  <c r="I91" i="1"/>
  <c r="M91" i="1" s="1"/>
  <c r="I90" i="1"/>
  <c r="M90" i="1" s="1"/>
  <c r="I89" i="1"/>
  <c r="M89" i="1" s="1"/>
  <c r="I88" i="1"/>
  <c r="M88" i="1" s="1"/>
  <c r="I87" i="1"/>
  <c r="M87" i="1" s="1"/>
  <c r="I86" i="1"/>
  <c r="M86" i="1" s="1"/>
  <c r="I85" i="1"/>
  <c r="M85" i="1" s="1"/>
  <c r="G74" i="1"/>
  <c r="E74" i="1"/>
  <c r="I70" i="1"/>
  <c r="K70" i="1" s="1"/>
  <c r="C70" i="1"/>
  <c r="C69" i="1"/>
  <c r="C68" i="1"/>
  <c r="C65" i="1"/>
  <c r="C64" i="1"/>
  <c r="C61" i="1"/>
  <c r="E59" i="1"/>
  <c r="C53" i="1"/>
  <c r="I48" i="1"/>
  <c r="K48" i="1" s="1"/>
  <c r="C44" i="1"/>
  <c r="C23" i="1"/>
  <c r="E21" i="1"/>
  <c r="C12" i="1"/>
  <c r="C7" i="1"/>
  <c r="I14" i="3"/>
  <c r="I32" i="3"/>
  <c r="F32" i="3"/>
  <c r="K32" i="3"/>
  <c r="G32" i="3"/>
  <c r="C12" i="5"/>
  <c r="C8" i="5"/>
  <c r="K56" i="2"/>
  <c r="K58" i="2"/>
  <c r="I29" i="4"/>
  <c r="F29" i="2"/>
  <c r="B28" i="2"/>
  <c r="K28" i="2"/>
  <c r="K30" i="2"/>
  <c r="K32" i="2"/>
  <c r="M32" i="2"/>
  <c r="B60" i="2"/>
  <c r="K60" i="2"/>
  <c r="B42" i="2"/>
  <c r="K42" i="2"/>
  <c r="B48" i="2"/>
  <c r="K48" i="2"/>
  <c r="K50" i="2"/>
  <c r="K52" i="2"/>
  <c r="B55" i="2"/>
  <c r="K55" i="2"/>
  <c r="B35" i="2"/>
  <c r="K35" i="2"/>
  <c r="K37" i="2"/>
  <c r="K39" i="2"/>
  <c r="B29" i="2"/>
  <c r="K29" i="2"/>
  <c r="B61" i="2"/>
  <c r="K61" i="2"/>
  <c r="F8" i="2"/>
  <c r="B41" i="2"/>
  <c r="K41" i="2"/>
  <c r="C10" i="5"/>
  <c r="M58" i="2"/>
  <c r="C14" i="5"/>
  <c r="C18" i="5"/>
  <c r="M52" i="2"/>
  <c r="O52" i="2"/>
  <c r="M7" i="2"/>
  <c r="K8" i="2"/>
  <c r="K43" i="2"/>
  <c r="K45" i="2"/>
  <c r="K62" i="2"/>
  <c r="K64" i="2"/>
  <c r="M45" i="2"/>
  <c r="O45" i="2"/>
  <c r="G75" i="1" l="1"/>
  <c r="I21" i="1"/>
  <c r="C21" i="1"/>
  <c r="E75" i="1"/>
  <c r="E76" i="1" s="1"/>
  <c r="D59" i="1"/>
  <c r="C59" i="1"/>
  <c r="C74" i="1"/>
  <c r="D74" i="1"/>
  <c r="I74" i="1"/>
  <c r="G10" i="5"/>
  <c r="G76" i="1"/>
  <c r="I98" i="1"/>
  <c r="K24" i="1"/>
  <c r="G12" i="5"/>
  <c r="G14" i="5" s="1"/>
  <c r="G18" i="5" s="1"/>
  <c r="I26" i="1" s="1"/>
  <c r="K61" i="1"/>
  <c r="K66" i="1"/>
  <c r="K21" i="1"/>
  <c r="J75" i="1"/>
  <c r="J76" i="1" s="1"/>
  <c r="C75" i="1" l="1"/>
  <c r="C76" i="1" s="1"/>
  <c r="K74" i="1"/>
  <c r="D75" i="1"/>
  <c r="D76" i="1" s="1"/>
  <c r="K26" i="1"/>
  <c r="K59" i="1" s="1"/>
  <c r="K75" i="1" s="1"/>
  <c r="K76" i="1" s="1"/>
  <c r="I59" i="1"/>
  <c r="I75" i="1" s="1"/>
  <c r="I76" i="1" s="1"/>
</calcChain>
</file>

<file path=xl/sharedStrings.xml><?xml version="1.0" encoding="utf-8"?>
<sst xmlns="http://schemas.openxmlformats.org/spreadsheetml/2006/main" count="408" uniqueCount="221">
  <si>
    <t>ASSOCIATED STUDENTS UCLA</t>
  </si>
  <si>
    <t>GRADUATE STUDENTS ASSOCIATION</t>
  </si>
  <si>
    <t>2021-2022 ORIGINAL BUDGET</t>
  </si>
  <si>
    <t>ORIGINAL</t>
  </si>
  <si>
    <t>REVISED*</t>
  </si>
  <si>
    <t>ANTICIPATED</t>
  </si>
  <si>
    <t>2019-20</t>
  </si>
  <si>
    <t>2020-21</t>
  </si>
  <si>
    <t>2021-22</t>
  </si>
  <si>
    <t>BUDGETABLE INCOME</t>
  </si>
  <si>
    <t>ACTUAL</t>
  </si>
  <si>
    <t xml:space="preserve">BUDGET </t>
  </si>
  <si>
    <t>BUDGET</t>
  </si>
  <si>
    <t>SURPLUS</t>
  </si>
  <si>
    <t>Membership Fees - Central Office</t>
  </si>
  <si>
    <t>D</t>
  </si>
  <si>
    <t>Membership Fees - Councils</t>
  </si>
  <si>
    <t>E</t>
  </si>
  <si>
    <t xml:space="preserve">Membership Fees - Writing Center </t>
  </si>
  <si>
    <t>F</t>
  </si>
  <si>
    <t>CalPirg Voluntary Fee</t>
  </si>
  <si>
    <t>Interest Income</t>
  </si>
  <si>
    <t>Program Support/Other Income</t>
  </si>
  <si>
    <t>Surplus Withdrawal</t>
  </si>
  <si>
    <t>Council Carry-Over</t>
  </si>
  <si>
    <t xml:space="preserve">Non-Recurrent Income/Expense </t>
  </si>
  <si>
    <t>ASUCLA Interaction Fund Contribution</t>
  </si>
  <si>
    <t>J</t>
  </si>
  <si>
    <t>ASUCLA Interaction Fund Contr. Surplus</t>
  </si>
  <si>
    <t>Student Fee Advisory Committee (SFAC) Fees  *</t>
  </si>
  <si>
    <t>K</t>
  </si>
  <si>
    <t>SFAC Fee Surplus  *</t>
  </si>
  <si>
    <t>100%</t>
  </si>
  <si>
    <t>TOTAL BUDGETABLE INCOME</t>
  </si>
  <si>
    <t>BUDGETABLE EXPENSE-CENTRAL OFFICE</t>
  </si>
  <si>
    <t>Staff Director Stipends</t>
  </si>
  <si>
    <t>Dept=4001</t>
  </si>
  <si>
    <t>Officer Stipends</t>
  </si>
  <si>
    <t>D/C</t>
  </si>
  <si>
    <t>Fund= all</t>
  </si>
  <si>
    <t>Director Stipends</t>
  </si>
  <si>
    <t>Payroll Taxes</t>
  </si>
  <si>
    <t>Bank Charges</t>
  </si>
  <si>
    <t>Supplies</t>
  </si>
  <si>
    <t>Computer Supplies</t>
  </si>
  <si>
    <t>Telephone</t>
  </si>
  <si>
    <t>Services/Subscriptions/Website UCLA (6040)</t>
  </si>
  <si>
    <t>Photocopying</t>
  </si>
  <si>
    <t>Depreciation - South Campus Copier</t>
  </si>
  <si>
    <t>Outside Advertising</t>
  </si>
  <si>
    <t>Travel</t>
  </si>
  <si>
    <t>Bruin Post Advertising</t>
  </si>
  <si>
    <t>Cabinet Discretionary</t>
  </si>
  <si>
    <t>GSA President Discretionary</t>
  </si>
  <si>
    <t>GSA VP Internal Discretionary</t>
  </si>
  <si>
    <t>GSA VP External Discretionary</t>
  </si>
  <si>
    <t>GSA VP Academic Affairs Discretionary</t>
  </si>
  <si>
    <t>Forum Discretionary</t>
  </si>
  <si>
    <t>Appt/Elect Board Discretionary</t>
  </si>
  <si>
    <t>Graduate Students Events</t>
  </si>
  <si>
    <t>Graduate Student Resource Center (GSRC)</t>
  </si>
  <si>
    <t>GSRC Oversight Committee Discretionary</t>
  </si>
  <si>
    <t>Student Interest Group Board Discretionary **</t>
  </si>
  <si>
    <t>Orientation</t>
  </si>
  <si>
    <t>Elections</t>
  </si>
  <si>
    <t>Admin &amp; Support Services</t>
  </si>
  <si>
    <t>Maintenance</t>
  </si>
  <si>
    <t>Utilities</t>
  </si>
  <si>
    <t>Programming Misc</t>
  </si>
  <si>
    <t>Compulsory Fee Refund</t>
  </si>
  <si>
    <t>Bank Card Fees</t>
  </si>
  <si>
    <t>Unallocated Surplus</t>
  </si>
  <si>
    <t>Special Projects</t>
  </si>
  <si>
    <t>Honorarium</t>
  </si>
  <si>
    <t>SUBTOTAL CENTRAL OFFICE</t>
  </si>
  <si>
    <t>BUDGETABLE EXPENSE-COUNCILS/PROGRAMMING</t>
  </si>
  <si>
    <t>Councils</t>
  </si>
  <si>
    <t>Graduate Student Writing Center</t>
  </si>
  <si>
    <t>Discretionary Programs-SFAC Fees  *</t>
  </si>
  <si>
    <t>Publications-SFAC Fees  *</t>
  </si>
  <si>
    <t>Director Stipends: SFAC</t>
  </si>
  <si>
    <t>Discretionary Programs - Interaction Fund</t>
  </si>
  <si>
    <t>Melnitz Movies</t>
  </si>
  <si>
    <t>Sustainable Resource Center</t>
  </si>
  <si>
    <t>Director Stipends: ASUCLA Interaction</t>
  </si>
  <si>
    <t>SUBTOTAL PROGRAMMING</t>
  </si>
  <si>
    <t>TOTAL BUDGETABLE EXPENSES</t>
  </si>
  <si>
    <t>NET</t>
  </si>
  <si>
    <t>*  Student Fee Advisory Committee (SFAC) Fees use is restricted by agreement with the University and</t>
  </si>
  <si>
    <t xml:space="preserve">    may only be used for Discretionary Programs and Publications.  </t>
  </si>
  <si>
    <t>** Student Interest Board Discretionary 2006-07 Budget includes AGSA 2005-06 Surplus</t>
  </si>
  <si>
    <t>The following preliminary Council budgets will be posted August 1st, representing 75% of prior year allocations.</t>
  </si>
  <si>
    <t>75% of 20-21</t>
  </si>
  <si>
    <t>Arts and Architecture</t>
  </si>
  <si>
    <t>Biological Sciences</t>
  </si>
  <si>
    <t>Dentistry</t>
  </si>
  <si>
    <t>Education</t>
  </si>
  <si>
    <t>Engineering</t>
  </si>
  <si>
    <t>Humanities</t>
  </si>
  <si>
    <t>Law</t>
  </si>
  <si>
    <t>Management</t>
  </si>
  <si>
    <t>Math and Physical Sciences</t>
  </si>
  <si>
    <t>Medicine</t>
  </si>
  <si>
    <t>Nursing</t>
  </si>
  <si>
    <t>Public Health</t>
  </si>
  <si>
    <t>Social Sciences</t>
  </si>
  <si>
    <t>Total Council Preliminary</t>
  </si>
  <si>
    <t xml:space="preserve">2021-2022 BUDGET </t>
  </si>
  <si>
    <t>GSA BUDGET INCOME WORKSHEET</t>
  </si>
  <si>
    <t>2021-2022</t>
  </si>
  <si>
    <t>2020-2021</t>
  </si>
  <si>
    <t>CHANGE</t>
  </si>
  <si>
    <t>% CHNG</t>
  </si>
  <si>
    <t>ENROLL</t>
  </si>
  <si>
    <r>
      <rPr>
        <sz val="10"/>
        <color theme="1"/>
        <rFont val="Arial"/>
      </rPr>
      <t xml:space="preserve">GENERAL CAMPUS (3 QUARTER AVERAGE, </t>
    </r>
    <r>
      <rPr>
        <sz val="8"/>
        <color theme="1"/>
        <rFont val="Arial"/>
      </rPr>
      <t>Projected</t>
    </r>
    <r>
      <rPr>
        <sz val="10"/>
        <color theme="1"/>
        <rFont val="Arial"/>
      </rPr>
      <t>)</t>
    </r>
  </si>
  <si>
    <t>EXECUTIVE AND FULLY EMPLOYED MBA*</t>
  </si>
  <si>
    <t>LEADERSHIP CO-HORT (SCHOOL OF EDUC)**</t>
  </si>
  <si>
    <t>HEALTH SCIENCES ***</t>
  </si>
  <si>
    <t>TOTAL ENROLLMENT</t>
  </si>
  <si>
    <t>MANDATORY FEE</t>
  </si>
  <si>
    <t>AVERAGE DEPOSITS</t>
  </si>
  <si>
    <t>PROJECTED INTEREST RATE</t>
  </si>
  <si>
    <t>CENTRAL OFFICE FEES</t>
  </si>
  <si>
    <t>COUNCIL FEES</t>
  </si>
  <si>
    <t>GRADUATE STUDENT WRITING CENTER FEES</t>
  </si>
  <si>
    <t>CPI every year as of 3/23/15; must confirm w/UC</t>
  </si>
  <si>
    <t>UCSA FEES</t>
  </si>
  <si>
    <t>UCSA DUES</t>
  </si>
  <si>
    <t>*    Per Anderson School, EMBA/FEMBA's do pay the GSA fee. SGA invoices and payment made direct to GSA.</t>
  </si>
  <si>
    <t xml:space="preserve">     Estimate based on prior year actual.</t>
  </si>
  <si>
    <t>**  Administered by School of Education.  SGA invoices and payment made direct to GSA. Estimate based on prior year actual.</t>
  </si>
  <si>
    <t>*** Excluding interns and residents, who do not pay GSA fees.</t>
  </si>
  <si>
    <t>MANDATORY MEMBERSHIP FEES CALCULATION</t>
  </si>
  <si>
    <t>GENERAL AND HEALTH SCIENCE</t>
  </si>
  <si>
    <t>+</t>
  </si>
  <si>
    <t>x</t>
  </si>
  <si>
    <t>=</t>
  </si>
  <si>
    <t>$</t>
  </si>
  <si>
    <t>DIRECT PAY FEES (ANDERSON AND LEADERSHIP)</t>
  </si>
  <si>
    <t>CENTRAL OFFICE INCOME CALCULATION</t>
  </si>
  <si>
    <t>Admin Fee 5%</t>
  </si>
  <si>
    <t>COUNCILS INCOME CALCULATION</t>
  </si>
  <si>
    <t>WRITING CENTER INCOME CALCULATION</t>
  </si>
  <si>
    <t>UCSA CONTRIBUTION CALCULATION</t>
  </si>
  <si>
    <t>UCSA AUGMENTED CALCULATION FROM CENTRAL OFFICE</t>
  </si>
  <si>
    <t>AVERAGE DEPOSITS (P/Y) X EXPECTED RETURN</t>
  </si>
  <si>
    <t>2021-2022 BUDGET</t>
  </si>
  <si>
    <t>ORIG</t>
  </si>
  <si>
    <t>REVISED</t>
  </si>
  <si>
    <t xml:space="preserve"># of </t>
  </si>
  <si>
    <t>$ of</t>
  </si>
  <si>
    <t xml:space="preserve">STIPENDS </t>
  </si>
  <si>
    <t>STIPEND</t>
  </si>
  <si>
    <t>Officers</t>
  </si>
  <si>
    <t>mths</t>
  </si>
  <si>
    <t>President</t>
  </si>
  <si>
    <t>Vice President-Internal</t>
  </si>
  <si>
    <t>Vice President-External</t>
  </si>
  <si>
    <t>Vice President-Academic Affairs</t>
  </si>
  <si>
    <t>SUBTOTAL OFFICER STIPENDS</t>
  </si>
  <si>
    <t>Director Stipends  - Report to President</t>
  </si>
  <si>
    <t>qtrs</t>
  </si>
  <si>
    <t xml:space="preserve">   Communications</t>
  </si>
  <si>
    <t>c</t>
  </si>
  <si>
    <t xml:space="preserve">   Discretionary Funding</t>
  </si>
  <si>
    <t>b</t>
  </si>
  <si>
    <t xml:space="preserve">   Elections </t>
  </si>
  <si>
    <t xml:space="preserve">   Graduate Student Events/Interaction</t>
  </si>
  <si>
    <t>3</t>
  </si>
  <si>
    <t>a</t>
  </si>
  <si>
    <t xml:space="preserve">   Publications</t>
  </si>
  <si>
    <t>Reports to the VPAA</t>
  </si>
  <si>
    <t xml:space="preserve">   Academic Senate </t>
  </si>
  <si>
    <t>SUBTOTAL DIRECTOR STIPENDS: ASUCLA</t>
  </si>
  <si>
    <t>SUBTOTAL DIRECTOR STIPENDS: SFAC</t>
  </si>
  <si>
    <t>SUBTOTAL DIRECTOR STIPENDS: Central Office</t>
  </si>
  <si>
    <t>TOTAL STIPENDS</t>
  </si>
  <si>
    <t>Director's in red have been remove from list and should not be included in 415 GSA budget</t>
  </si>
  <si>
    <t>Inflation factor</t>
  </si>
  <si>
    <t>Go here to calculate stipend inflation</t>
  </si>
  <si>
    <t>http://www.westegg.com/inflation/</t>
  </si>
  <si>
    <t>Cabinet Progam Directors</t>
  </si>
  <si>
    <t>Administrative Affairs Director</t>
  </si>
  <si>
    <t>Director of Diversity, Inclusion and Community Engagement</t>
  </si>
  <si>
    <t>Director of Social Media/Web Manager</t>
  </si>
  <si>
    <t>Finance Director</t>
  </si>
  <si>
    <t>Legislative Affairs Director</t>
  </si>
  <si>
    <t>Organizing Director/Community Relations Director</t>
  </si>
  <si>
    <t>SUBTOTAL DIRECTOR STIPENDS</t>
  </si>
  <si>
    <t>2021-2022 PAYROLL TAXES</t>
  </si>
  <si>
    <t>Original Budget</t>
  </si>
  <si>
    <t>Revised Budget</t>
  </si>
  <si>
    <t>Payroll Category</t>
  </si>
  <si>
    <t>Office Staff</t>
  </si>
  <si>
    <t>Commissoners Stipends</t>
  </si>
  <si>
    <t>Officers Stipends</t>
  </si>
  <si>
    <t>Total</t>
  </si>
  <si>
    <t>Budgeted Tax Rate **</t>
  </si>
  <si>
    <t>** Used estimate of the amount of taxes paid out last year</t>
  </si>
  <si>
    <t xml:space="preserve">Vote: 8/19/2021 </t>
  </si>
  <si>
    <t>3/0/0 Vote Passes</t>
  </si>
  <si>
    <t xml:space="preserve">   Melnitz Movies- 2 Co-Directors split stipend</t>
  </si>
  <si>
    <t>**Director of Internal Affairs</t>
  </si>
  <si>
    <t>**Director Presidents Office Chief of Staff</t>
  </si>
  <si>
    <t>CHANGES</t>
  </si>
  <si>
    <t xml:space="preserve">REVISED </t>
  </si>
  <si>
    <t>Balance</t>
  </si>
  <si>
    <t>Allocation</t>
  </si>
  <si>
    <t>Carryover</t>
  </si>
  <si>
    <t>20-21 Council</t>
  </si>
  <si>
    <t>L</t>
  </si>
  <si>
    <t>D/B/L</t>
  </si>
  <si>
    <t>D/A/L</t>
  </si>
  <si>
    <t>D/L</t>
  </si>
  <si>
    <t>M</t>
  </si>
  <si>
    <t>E/M</t>
  </si>
  <si>
    <t>K/L</t>
  </si>
  <si>
    <t>N</t>
  </si>
  <si>
    <t>J/L/N</t>
  </si>
  <si>
    <t>J/N</t>
  </si>
  <si>
    <t>Excess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</si>
</sst>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General_)"/>
    <numFmt numFmtId="166" formatCode="0.00_);[Red]\(0.00\)"/>
    <numFmt numFmtId="167" formatCode="0.00_)"/>
    <numFmt numFmtId="168" formatCode="_(&quot;$&quot;* #,##0_);_(&quot;$&quot;* \(#,##0\);_(&quot;$&quot;* &quot;-&quot;??_);_(@_)"/>
    <numFmt numFmtId="169" formatCode="0.0%"/>
    <numFmt numFmtId="170" formatCode="#,##0.000_);[Red]\(#,##0.000\)"/>
  </numFmts>
  <fonts count="30">
    <font>
      <sz val="10"/>
      <color rgb="FF000000"/>
      <name val="Open Sans"/>
    </font>
    <font>
      <sz val="10"/>
      <color theme="1"/>
      <name val="Arial"/>
    </font>
    <font>
      <sz val="10"/>
      <name val="Open Sans"/>
    </font>
    <font>
      <b/>
      <sz val="10"/>
      <color rgb="FF0000FF"/>
      <name val="Arial"/>
    </font>
    <font>
      <sz val="10"/>
      <color rgb="FFFF0000"/>
      <name val="Arial"/>
    </font>
    <font>
      <sz val="10"/>
      <color rgb="FF0080C0"/>
      <name val="Arial"/>
    </font>
    <font>
      <sz val="10"/>
      <color rgb="FF993366"/>
      <name val="Arial"/>
    </font>
    <font>
      <sz val="10"/>
      <color rgb="FF0000FF"/>
      <name val="Arial"/>
    </font>
    <font>
      <sz val="10"/>
      <color rgb="FF008000"/>
      <name val="Arial"/>
    </font>
    <font>
      <sz val="10"/>
      <color rgb="FF3366FF"/>
      <name val="Arial"/>
    </font>
    <font>
      <b/>
      <sz val="10"/>
      <color theme="1"/>
      <name val="Arial"/>
    </font>
    <font>
      <sz val="10"/>
      <color theme="1"/>
      <name val="Open Sans"/>
    </font>
    <font>
      <b/>
      <sz val="10"/>
      <color rgb="FFFF0000"/>
      <name val="Arial"/>
    </font>
    <font>
      <sz val="10"/>
      <color rgb="FF333399"/>
      <name val="Arial"/>
    </font>
    <font>
      <i/>
      <sz val="10"/>
      <color theme="1"/>
      <name val="Arial"/>
    </font>
    <font>
      <sz val="10"/>
      <color rgb="FF0080C0"/>
      <name val="Open Sans"/>
    </font>
    <font>
      <sz val="10"/>
      <color theme="1"/>
      <name val="Courier"/>
    </font>
    <font>
      <u/>
      <sz val="10"/>
      <color theme="1"/>
      <name val="Arial"/>
    </font>
    <font>
      <b/>
      <i/>
      <sz val="10"/>
      <color theme="1"/>
      <name val="Arial"/>
    </font>
    <font>
      <b/>
      <sz val="12"/>
      <color theme="1"/>
      <name val="Arial"/>
    </font>
    <font>
      <sz val="9"/>
      <color theme="1"/>
      <name val="Arial"/>
    </font>
    <font>
      <sz val="10"/>
      <color rgb="FFFF9900"/>
      <name val="Arial"/>
    </font>
    <font>
      <sz val="10"/>
      <name val="Arial"/>
    </font>
    <font>
      <sz val="8"/>
      <color theme="1"/>
      <name val="Arial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theme="6"/>
        <bgColor theme="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5" fillId="0" borderId="33"/>
  </cellStyleXfs>
  <cellXfs count="24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38" fontId="1" fillId="0" borderId="13" xfId="0" applyNumberFormat="1" applyFont="1" applyBorder="1"/>
    <xf numFmtId="37" fontId="1" fillId="0" borderId="14" xfId="0" applyNumberFormat="1" applyFont="1" applyBorder="1"/>
    <xf numFmtId="37" fontId="1" fillId="0" borderId="15" xfId="0" applyNumberFormat="1" applyFont="1" applyBorder="1"/>
    <xf numFmtId="37" fontId="1" fillId="0" borderId="0" xfId="0" applyNumberFormat="1" applyFont="1"/>
    <xf numFmtId="37" fontId="4" fillId="0" borderId="16" xfId="0" applyNumberFormat="1" applyFont="1" applyBorder="1"/>
    <xf numFmtId="0" fontId="4" fillId="0" borderId="0" xfId="0" applyFont="1"/>
    <xf numFmtId="0" fontId="1" fillId="0" borderId="12" xfId="0" applyFont="1" applyBorder="1" applyAlignment="1">
      <alignment horizontal="left"/>
    </xf>
    <xf numFmtId="37" fontId="1" fillId="0" borderId="17" xfId="0" applyNumberFormat="1" applyFont="1" applyBorder="1"/>
    <xf numFmtId="37" fontId="1" fillId="0" borderId="13" xfId="0" applyNumberFormat="1" applyFont="1" applyBorder="1"/>
    <xf numFmtId="37" fontId="6" fillId="0" borderId="13" xfId="0" applyNumberFormat="1" applyFont="1" applyBorder="1"/>
    <xf numFmtId="37" fontId="7" fillId="0" borderId="13" xfId="0" applyNumberFormat="1" applyFont="1" applyBorder="1"/>
    <xf numFmtId="0" fontId="1" fillId="0" borderId="11" xfId="0" applyFont="1" applyBorder="1"/>
    <xf numFmtId="37" fontId="4" fillId="0" borderId="13" xfId="0" applyNumberFormat="1" applyFont="1" applyBorder="1"/>
    <xf numFmtId="0" fontId="8" fillId="0" borderId="0" xfId="0" applyFont="1"/>
    <xf numFmtId="37" fontId="9" fillId="0" borderId="0" xfId="0" applyNumberFormat="1" applyFont="1"/>
    <xf numFmtId="37" fontId="1" fillId="0" borderId="13" xfId="0" applyNumberFormat="1" applyFont="1" applyBorder="1" applyAlignment="1"/>
    <xf numFmtId="37" fontId="9" fillId="0" borderId="13" xfId="0" applyNumberFormat="1" applyFont="1" applyBorder="1"/>
    <xf numFmtId="37" fontId="8" fillId="0" borderId="13" xfId="0" applyNumberFormat="1" applyFont="1" applyBorder="1"/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38" fontId="10" fillId="0" borderId="13" xfId="0" applyNumberFormat="1" applyFont="1" applyBorder="1"/>
    <xf numFmtId="37" fontId="10" fillId="0" borderId="13" xfId="0" applyNumberFormat="1" applyFont="1" applyBorder="1"/>
    <xf numFmtId="37" fontId="10" fillId="0" borderId="0" xfId="0" applyNumberFormat="1" applyFont="1"/>
    <xf numFmtId="37" fontId="10" fillId="0" borderId="13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38" fontId="1" fillId="0" borderId="20" xfId="0" applyNumberFormat="1" applyFont="1" applyBorder="1"/>
    <xf numFmtId="37" fontId="1" fillId="0" borderId="20" xfId="0" applyNumberFormat="1" applyFont="1" applyBorder="1"/>
    <xf numFmtId="0" fontId="1" fillId="0" borderId="0" xfId="0" applyFont="1" applyAlignment="1">
      <alignment horizontal="left"/>
    </xf>
    <xf numFmtId="38" fontId="1" fillId="0" borderId="12" xfId="0" applyNumberFormat="1" applyFont="1" applyBorder="1"/>
    <xf numFmtId="0" fontId="11" fillId="0" borderId="0" xfId="0" applyFont="1"/>
    <xf numFmtId="37" fontId="1" fillId="0" borderId="12" xfId="0" applyNumberFormat="1" applyFont="1" applyBorder="1"/>
    <xf numFmtId="0" fontId="1" fillId="0" borderId="21" xfId="0" applyFont="1" applyBorder="1"/>
    <xf numFmtId="0" fontId="1" fillId="0" borderId="22" xfId="0" applyFont="1" applyBorder="1"/>
    <xf numFmtId="38" fontId="1" fillId="0" borderId="23" xfId="0" applyNumberFormat="1" applyFont="1" applyBorder="1"/>
    <xf numFmtId="37" fontId="1" fillId="0" borderId="23" xfId="0" applyNumberFormat="1" applyFont="1" applyBorder="1"/>
    <xf numFmtId="37" fontId="4" fillId="0" borderId="23" xfId="0" applyNumberFormat="1" applyFont="1" applyBorder="1"/>
    <xf numFmtId="37" fontId="1" fillId="0" borderId="0" xfId="0" applyNumberFormat="1" applyFont="1" applyAlignment="1">
      <alignment horizontal="left"/>
    </xf>
    <xf numFmtId="37" fontId="4" fillId="0" borderId="13" xfId="0" applyNumberFormat="1" applyFont="1" applyBorder="1" applyAlignment="1"/>
    <xf numFmtId="37" fontId="12" fillId="0" borderId="13" xfId="0" applyNumberFormat="1" applyFont="1" applyBorder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left"/>
    </xf>
    <xf numFmtId="39" fontId="1" fillId="0" borderId="0" xfId="0" applyNumberFormat="1" applyFont="1"/>
    <xf numFmtId="39" fontId="13" fillId="0" borderId="0" xfId="0" applyNumberFormat="1" applyFont="1"/>
    <xf numFmtId="0" fontId="1" fillId="0" borderId="24" xfId="0" applyFont="1" applyBorder="1"/>
    <xf numFmtId="0" fontId="1" fillId="0" borderId="25" xfId="0" applyFont="1" applyBorder="1"/>
    <xf numFmtId="38" fontId="1" fillId="0" borderId="26" xfId="0" applyNumberFormat="1" applyFont="1" applyBorder="1"/>
    <xf numFmtId="37" fontId="1" fillId="0" borderId="26" xfId="0" applyNumberFormat="1" applyFont="1" applyBorder="1"/>
    <xf numFmtId="37" fontId="1" fillId="0" borderId="25" xfId="0" applyNumberFormat="1" applyFont="1" applyBorder="1"/>
    <xf numFmtId="37" fontId="4" fillId="0" borderId="26" xfId="0" applyNumberFormat="1" applyFont="1" applyBorder="1"/>
    <xf numFmtId="0" fontId="11" fillId="0" borderId="25" xfId="0" applyFont="1" applyBorder="1"/>
    <xf numFmtId="38" fontId="1" fillId="0" borderId="6" xfId="0" applyNumberFormat="1" applyFont="1" applyBorder="1"/>
    <xf numFmtId="37" fontId="1" fillId="0" borderId="6" xfId="0" applyNumberFormat="1" applyFont="1" applyBorder="1"/>
    <xf numFmtId="37" fontId="4" fillId="0" borderId="6" xfId="0" applyNumberFormat="1" applyFont="1" applyBorder="1"/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37" fontId="5" fillId="0" borderId="0" xfId="0" applyNumberFormat="1" applyFont="1"/>
    <xf numFmtId="37" fontId="4" fillId="0" borderId="20" xfId="0" applyNumberFormat="1" applyFont="1" applyBorder="1"/>
    <xf numFmtId="3" fontId="4" fillId="0" borderId="0" xfId="0" applyNumberFormat="1" applyFont="1" applyAlignment="1">
      <alignment horizontal="left"/>
    </xf>
    <xf numFmtId="38" fontId="11" fillId="0" borderId="0" xfId="0" applyNumberFormat="1" applyFont="1"/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37" fontId="7" fillId="0" borderId="26" xfId="0" applyNumberFormat="1" applyFont="1" applyBorder="1"/>
    <xf numFmtId="1" fontId="1" fillId="0" borderId="0" xfId="0" applyNumberFormat="1" applyFont="1"/>
    <xf numFmtId="9" fontId="1" fillId="0" borderId="0" xfId="0" applyNumberFormat="1" applyFont="1"/>
    <xf numFmtId="38" fontId="1" fillId="0" borderId="0" xfId="0" applyNumberFormat="1" applyFont="1"/>
    <xf numFmtId="0" fontId="14" fillId="0" borderId="11" xfId="0" applyFont="1" applyBorder="1" applyAlignment="1">
      <alignment horizontal="left"/>
    </xf>
    <xf numFmtId="0" fontId="14" fillId="0" borderId="11" xfId="0" applyFont="1" applyBorder="1"/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38" fontId="1" fillId="0" borderId="29" xfId="0" applyNumberFormat="1" applyFont="1" applyBorder="1"/>
    <xf numFmtId="37" fontId="1" fillId="0" borderId="29" xfId="0" applyNumberFormat="1" applyFont="1" applyBorder="1"/>
    <xf numFmtId="0" fontId="1" fillId="0" borderId="30" xfId="0" applyFont="1" applyBorder="1"/>
    <xf numFmtId="0" fontId="1" fillId="0" borderId="31" xfId="0" applyFont="1" applyBorder="1"/>
    <xf numFmtId="38" fontId="1" fillId="0" borderId="32" xfId="0" applyNumberFormat="1" applyFont="1" applyBorder="1"/>
    <xf numFmtId="37" fontId="1" fillId="0" borderId="32" xfId="0" applyNumberFormat="1" applyFont="1" applyBorder="1"/>
    <xf numFmtId="37" fontId="5" fillId="0" borderId="32" xfId="0" applyNumberFormat="1" applyFont="1" applyBorder="1"/>
    <xf numFmtId="0" fontId="15" fillId="0" borderId="0" xfId="0" applyFont="1"/>
    <xf numFmtId="37" fontId="12" fillId="0" borderId="20" xfId="0" applyNumberFormat="1" applyFont="1" applyBorder="1"/>
    <xf numFmtId="37" fontId="1" fillId="0" borderId="0" xfId="0" applyNumberFormat="1" applyFont="1" applyAlignment="1">
      <alignment horizontal="right"/>
    </xf>
    <xf numFmtId="37" fontId="1" fillId="2" borderId="33" xfId="0" applyNumberFormat="1" applyFont="1" applyFill="1" applyBorder="1"/>
    <xf numFmtId="0" fontId="1" fillId="0" borderId="34" xfId="0" applyFont="1" applyBorder="1"/>
    <xf numFmtId="37" fontId="1" fillId="0" borderId="35" xfId="0" applyNumberFormat="1" applyFont="1" applyBorder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left"/>
    </xf>
    <xf numFmtId="165" fontId="16" fillId="0" borderId="0" xfId="0" applyNumberFormat="1" applyFont="1"/>
    <xf numFmtId="10" fontId="1" fillId="0" borderId="0" xfId="0" applyNumberFormat="1" applyFont="1"/>
    <xf numFmtId="7" fontId="4" fillId="0" borderId="0" xfId="0" applyNumberFormat="1" applyFont="1"/>
    <xf numFmtId="166" fontId="1" fillId="0" borderId="0" xfId="0" applyNumberFormat="1" applyFont="1"/>
    <xf numFmtId="5" fontId="1" fillId="0" borderId="0" xfId="0" applyNumberFormat="1" applyFont="1"/>
    <xf numFmtId="7" fontId="1" fillId="0" borderId="0" xfId="0" applyNumberFormat="1" applyFont="1"/>
    <xf numFmtId="165" fontId="4" fillId="0" borderId="0" xfId="0" applyNumberFormat="1" applyFont="1"/>
    <xf numFmtId="165" fontId="17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0" borderId="25" xfId="0" applyNumberFormat="1" applyFont="1" applyBorder="1"/>
    <xf numFmtId="165" fontId="1" fillId="0" borderId="25" xfId="0" applyNumberFormat="1" applyFont="1" applyBorder="1" applyAlignment="1">
      <alignment horizontal="right"/>
    </xf>
    <xf numFmtId="167" fontId="1" fillId="0" borderId="25" xfId="0" applyNumberFormat="1" applyFont="1" applyBorder="1"/>
    <xf numFmtId="165" fontId="1" fillId="0" borderId="1" xfId="0" applyNumberFormat="1" applyFont="1" applyBorder="1" applyAlignment="1">
      <alignment horizontal="right"/>
    </xf>
    <xf numFmtId="37" fontId="1" fillId="0" borderId="1" xfId="0" applyNumberFormat="1" applyFont="1" applyBorder="1"/>
    <xf numFmtId="165" fontId="1" fillId="0" borderId="36" xfId="0" applyNumberFormat="1" applyFont="1" applyBorder="1"/>
    <xf numFmtId="165" fontId="1" fillId="0" borderId="36" xfId="0" applyNumberFormat="1" applyFont="1" applyBorder="1" applyAlignment="1">
      <alignment horizontal="right"/>
    </xf>
    <xf numFmtId="37" fontId="1" fillId="0" borderId="36" xfId="0" applyNumberFormat="1" applyFont="1" applyBorder="1"/>
    <xf numFmtId="5" fontId="1" fillId="0" borderId="36" xfId="0" applyNumberFormat="1" applyFont="1" applyBorder="1"/>
    <xf numFmtId="168" fontId="1" fillId="0" borderId="1" xfId="0" applyNumberFormat="1" applyFont="1" applyBorder="1"/>
    <xf numFmtId="167" fontId="1" fillId="0" borderId="0" xfId="0" applyNumberFormat="1" applyFont="1"/>
    <xf numFmtId="5" fontId="1" fillId="0" borderId="1" xfId="0" applyNumberFormat="1" applyFont="1" applyBorder="1"/>
    <xf numFmtId="169" fontId="1" fillId="0" borderId="0" xfId="0" applyNumberFormat="1" applyFont="1"/>
    <xf numFmtId="165" fontId="1" fillId="3" borderId="37" xfId="0" applyNumberFormat="1" applyFont="1" applyFill="1" applyBorder="1" applyAlignment="1">
      <alignment horizontal="left"/>
    </xf>
    <xf numFmtId="165" fontId="1" fillId="3" borderId="37" xfId="0" applyNumberFormat="1" applyFont="1" applyFill="1" applyBorder="1"/>
    <xf numFmtId="5" fontId="1" fillId="3" borderId="37" xfId="0" applyNumberFormat="1" applyFont="1" applyFill="1" applyBorder="1"/>
    <xf numFmtId="165" fontId="1" fillId="0" borderId="38" xfId="0" applyNumberFormat="1" applyFont="1" applyBorder="1" applyAlignment="1">
      <alignment horizontal="left"/>
    </xf>
    <xf numFmtId="169" fontId="1" fillId="0" borderId="38" xfId="0" applyNumberFormat="1" applyFont="1" applyBorder="1"/>
    <xf numFmtId="165" fontId="1" fillId="0" borderId="38" xfId="0" applyNumberFormat="1" applyFont="1" applyBorder="1"/>
    <xf numFmtId="165" fontId="1" fillId="0" borderId="38" xfId="0" applyNumberFormat="1" applyFont="1" applyBorder="1" applyAlignment="1">
      <alignment horizontal="right"/>
    </xf>
    <xf numFmtId="37" fontId="1" fillId="0" borderId="38" xfId="0" applyNumberFormat="1" applyFont="1" applyBorder="1"/>
    <xf numFmtId="0" fontId="1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38" fontId="1" fillId="0" borderId="5" xfId="0" applyNumberFormat="1" applyFont="1" applyBorder="1" applyAlignment="1">
      <alignment horizontal="right"/>
    </xf>
    <xf numFmtId="37" fontId="1" fillId="0" borderId="39" xfId="0" applyNumberFormat="1" applyFont="1" applyBorder="1"/>
    <xf numFmtId="0" fontId="13" fillId="0" borderId="18" xfId="0" applyFont="1" applyBorder="1" applyAlignment="1">
      <alignment horizontal="left"/>
    </xf>
    <xf numFmtId="37" fontId="1" fillId="0" borderId="20" xfId="0" applyNumberFormat="1" applyFont="1" applyBorder="1" applyAlignment="1">
      <alignment horizontal="right"/>
    </xf>
    <xf numFmtId="37" fontId="10" fillId="0" borderId="20" xfId="0" applyNumberFormat="1" applyFont="1" applyBorder="1" applyAlignment="1">
      <alignment horizontal="right"/>
    </xf>
    <xf numFmtId="37" fontId="1" fillId="0" borderId="4" xfId="0" applyNumberFormat="1" applyFont="1" applyBorder="1"/>
    <xf numFmtId="0" fontId="5" fillId="0" borderId="5" xfId="0" applyFont="1" applyBorder="1" applyAlignment="1">
      <alignment horizontal="left"/>
    </xf>
    <xf numFmtId="37" fontId="18" fillId="0" borderId="6" xfId="0" applyNumberFormat="1" applyFont="1" applyBorder="1"/>
    <xf numFmtId="37" fontId="9" fillId="0" borderId="6" xfId="0" applyNumberFormat="1" applyFont="1" applyBorder="1"/>
    <xf numFmtId="0" fontId="8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38" fontId="1" fillId="0" borderId="18" xfId="0" applyNumberFormat="1" applyFont="1" applyBorder="1" applyAlignment="1">
      <alignment horizontal="center"/>
    </xf>
    <xf numFmtId="37" fontId="10" fillId="0" borderId="20" xfId="0" applyNumberFormat="1" applyFont="1" applyBorder="1"/>
    <xf numFmtId="0" fontId="13" fillId="0" borderId="30" xfId="0" applyFont="1" applyBorder="1"/>
    <xf numFmtId="37" fontId="19" fillId="0" borderId="32" xfId="0" applyNumberFormat="1" applyFont="1" applyBorder="1"/>
    <xf numFmtId="0" fontId="14" fillId="0" borderId="0" xfId="0" applyFont="1" applyAlignment="1">
      <alignment horizontal="left"/>
    </xf>
    <xf numFmtId="0" fontId="14" fillId="0" borderId="0" xfId="0" applyFont="1"/>
    <xf numFmtId="16" fontId="1" fillId="0" borderId="0" xfId="0" applyNumberFormat="1" applyFont="1" applyAlignment="1">
      <alignment horizontal="left"/>
    </xf>
    <xf numFmtId="0" fontId="20" fillId="0" borderId="5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38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38" fontId="22" fillId="0" borderId="5" xfId="0" applyNumberFormat="1" applyFont="1" applyBorder="1" applyAlignment="1">
      <alignment horizontal="right"/>
    </xf>
    <xf numFmtId="3" fontId="1" fillId="0" borderId="0" xfId="0" applyNumberFormat="1" applyFont="1"/>
    <xf numFmtId="3" fontId="1" fillId="0" borderId="12" xfId="0" applyNumberFormat="1" applyFont="1" applyBorder="1"/>
    <xf numFmtId="170" fontId="1" fillId="0" borderId="0" xfId="0" applyNumberFormat="1" applyFont="1"/>
    <xf numFmtId="40" fontId="1" fillId="0" borderId="0" xfId="0" applyNumberFormat="1" applyFont="1"/>
    <xf numFmtId="38" fontId="1" fillId="0" borderId="1" xfId="0" applyNumberFormat="1" applyFont="1" applyBorder="1"/>
    <xf numFmtId="38" fontId="1" fillId="0" borderId="0" xfId="0" applyNumberFormat="1" applyFont="1" applyAlignment="1">
      <alignment horizontal="center"/>
    </xf>
    <xf numFmtId="0" fontId="5" fillId="5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38" fontId="1" fillId="5" borderId="5" xfId="0" applyNumberFormat="1" applyFont="1" applyFill="1" applyBorder="1" applyAlignment="1">
      <alignment horizontal="right"/>
    </xf>
    <xf numFmtId="37" fontId="18" fillId="5" borderId="6" xfId="0" applyNumberFormat="1" applyFont="1" applyFill="1" applyBorder="1"/>
    <xf numFmtId="37" fontId="1" fillId="5" borderId="6" xfId="0" applyNumberFormat="1" applyFont="1" applyFill="1" applyBorder="1"/>
    <xf numFmtId="0" fontId="0" fillId="5" borderId="0" xfId="0" applyFont="1" applyFill="1" applyAlignment="1"/>
    <xf numFmtId="37" fontId="1" fillId="5" borderId="0" xfId="0" applyNumberFormat="1" applyFont="1" applyFill="1"/>
    <xf numFmtId="0" fontId="1" fillId="6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38" fontId="1" fillId="6" borderId="5" xfId="0" applyNumberFormat="1" applyFont="1" applyFill="1" applyBorder="1" applyAlignment="1">
      <alignment horizontal="right"/>
    </xf>
    <xf numFmtId="37" fontId="18" fillId="6" borderId="6" xfId="0" applyNumberFormat="1" applyFont="1" applyFill="1" applyBorder="1"/>
    <xf numFmtId="37" fontId="1" fillId="6" borderId="6" xfId="0" applyNumberFormat="1" applyFont="1" applyFill="1" applyBorder="1"/>
    <xf numFmtId="0" fontId="0" fillId="6" borderId="0" xfId="0" applyFont="1" applyFill="1" applyAlignment="1"/>
    <xf numFmtId="0" fontId="5" fillId="6" borderId="5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37" fontId="1" fillId="6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37" fontId="24" fillId="0" borderId="13" xfId="0" applyNumberFormat="1" applyFont="1" applyBorder="1"/>
    <xf numFmtId="37" fontId="24" fillId="0" borderId="23" xfId="0" applyNumberFormat="1" applyFont="1" applyBorder="1"/>
    <xf numFmtId="0" fontId="26" fillId="0" borderId="41" xfId="1" quotePrefix="1" applyFont="1" applyBorder="1" applyAlignment="1">
      <alignment horizontal="center"/>
    </xf>
    <xf numFmtId="0" fontId="26" fillId="0" borderId="42" xfId="1" quotePrefix="1" applyFont="1" applyBorder="1" applyAlignment="1">
      <alignment horizontal="center"/>
    </xf>
    <xf numFmtId="0" fontId="26" fillId="0" borderId="43" xfId="1" quotePrefix="1" applyFont="1" applyBorder="1" applyAlignment="1">
      <alignment horizontal="center"/>
    </xf>
    <xf numFmtId="37" fontId="24" fillId="0" borderId="16" xfId="0" applyNumberFormat="1" applyFont="1" applyBorder="1"/>
    <xf numFmtId="37" fontId="27" fillId="0" borderId="13" xfId="0" applyNumberFormat="1" applyFont="1" applyBorder="1"/>
    <xf numFmtId="37" fontId="24" fillId="0" borderId="13" xfId="0" applyNumberFormat="1" applyFont="1" applyBorder="1" applyAlignment="1"/>
    <xf numFmtId="37" fontId="24" fillId="0" borderId="26" xfId="0" applyNumberFormat="1" applyFont="1" applyBorder="1"/>
    <xf numFmtId="37" fontId="24" fillId="0" borderId="6" xfId="0" applyNumberFormat="1" applyFont="1" applyBorder="1"/>
    <xf numFmtId="37" fontId="24" fillId="0" borderId="20" xfId="0" applyNumberFormat="1" applyFont="1" applyBorder="1"/>
    <xf numFmtId="38" fontId="27" fillId="0" borderId="13" xfId="0" applyNumberFormat="1" applyFont="1" applyBorder="1"/>
    <xf numFmtId="37" fontId="24" fillId="0" borderId="29" xfId="0" applyNumberFormat="1" applyFont="1" applyBorder="1"/>
    <xf numFmtId="37" fontId="24" fillId="0" borderId="32" xfId="0" applyNumberFormat="1" applyFont="1" applyBorder="1"/>
    <xf numFmtId="37" fontId="27" fillId="0" borderId="20" xfId="0" applyNumberFormat="1" applyFont="1" applyBorder="1"/>
    <xf numFmtId="39" fontId="24" fillId="0" borderId="13" xfId="0" applyNumberFormat="1" applyFont="1" applyFill="1" applyBorder="1"/>
    <xf numFmtId="39" fontId="27" fillId="0" borderId="13" xfId="0" applyNumberFormat="1" applyFont="1" applyBorder="1"/>
    <xf numFmtId="0" fontId="24" fillId="0" borderId="0" xfId="0" applyFont="1"/>
    <xf numFmtId="0" fontId="26" fillId="0" borderId="33" xfId="1" applyFont="1" applyAlignment="1">
      <alignment horizontal="center"/>
    </xf>
    <xf numFmtId="164" fontId="26" fillId="0" borderId="33" xfId="1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39" fontId="26" fillId="0" borderId="44" xfId="0" applyNumberFormat="1" applyFont="1" applyBorder="1"/>
    <xf numFmtId="39" fontId="24" fillId="0" borderId="13" xfId="0" applyNumberFormat="1" applyFont="1" applyBorder="1" applyAlignment="1"/>
    <xf numFmtId="39" fontId="28" fillId="0" borderId="44" xfId="0" applyNumberFormat="1" applyFont="1" applyBorder="1"/>
    <xf numFmtId="39" fontId="26" fillId="0" borderId="45" xfId="0" applyNumberFormat="1" applyFont="1" applyBorder="1"/>
    <xf numFmtId="37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9" fillId="0" borderId="0" xfId="0" applyFont="1"/>
    <xf numFmtId="0" fontId="27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5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9" fontId="27" fillId="0" borderId="13" xfId="0" applyNumberFormat="1" applyFont="1" applyBorder="1" applyAlignment="1"/>
  </cellXfs>
  <cellStyles count="2">
    <cellStyle name="Normal" xfId="0" builtinId="0"/>
    <cellStyle name="Normal 2" xfId="1" xr:uid="{538FF684-9668-4513-8B01-60A82C7A2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9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85" sqref="M85"/>
    </sheetView>
  </sheetViews>
  <sheetFormatPr defaultColWidth="14.42578125" defaultRowHeight="15" customHeight="1"/>
  <cols>
    <col min="1" max="1" width="35.7109375" customWidth="1"/>
    <col min="2" max="2" width="7.85546875" customWidth="1"/>
    <col min="3" max="3" width="10.28515625" customWidth="1"/>
    <col min="4" max="4" width="13.42578125" bestFit="1" customWidth="1"/>
    <col min="5" max="5" width="10.85546875" hidden="1" customWidth="1"/>
    <col min="6" max="6" width="6.5703125" customWidth="1"/>
    <col min="7" max="7" width="13" hidden="1" customWidth="1"/>
    <col min="8" max="8" width="5" hidden="1" customWidth="1"/>
    <col min="9" max="9" width="11.140625" customWidth="1"/>
    <col min="10" max="10" width="12.85546875" style="201" bestFit="1" customWidth="1"/>
    <col min="11" max="11" width="12.28515625" style="201" bestFit="1" customWidth="1"/>
    <col min="12" max="12" width="10.7109375" bestFit="1" customWidth="1"/>
    <col min="13" max="13" width="11.5703125" customWidth="1"/>
    <col min="14" max="14" width="11.140625" customWidth="1"/>
    <col min="15" max="15" width="9.140625" customWidth="1"/>
    <col min="16" max="16" width="12.85546875" hidden="1" customWidth="1"/>
    <col min="17" max="28" width="8" customWidth="1"/>
  </cols>
  <sheetData>
    <row r="1" spans="1:28" ht="12.75" customHeight="1">
      <c r="A1" s="233" t="s">
        <v>0</v>
      </c>
      <c r="B1" s="234"/>
      <c r="C1" s="234"/>
      <c r="D1" s="234"/>
      <c r="E1" s="234"/>
      <c r="F1" s="234"/>
      <c r="G1" s="234"/>
      <c r="H1" s="2"/>
      <c r="I1" s="2"/>
      <c r="J1" s="2"/>
      <c r="K1" s="2"/>
      <c r="L1" s="2"/>
      <c r="M1" s="2"/>
      <c r="N1" s="3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.75" customHeight="1">
      <c r="A2" s="233" t="s">
        <v>1</v>
      </c>
      <c r="B2" s="234"/>
      <c r="C2" s="234"/>
      <c r="D2" s="234"/>
      <c r="E2" s="234"/>
      <c r="F2" s="234"/>
      <c r="G2" s="234"/>
      <c r="H2" s="234"/>
      <c r="I2" s="1"/>
      <c r="J2" s="200"/>
      <c r="K2" s="200"/>
      <c r="L2" s="2"/>
      <c r="M2" s="2"/>
      <c r="N2" s="3"/>
      <c r="O2" s="2"/>
      <c r="P2" s="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3.5" customHeight="1" thickBot="1">
      <c r="A3" s="235" t="s">
        <v>2</v>
      </c>
      <c r="B3" s="236"/>
      <c r="C3" s="236"/>
      <c r="D3" s="236"/>
      <c r="E3" s="236"/>
      <c r="F3" s="236"/>
      <c r="G3" s="236"/>
      <c r="H3" s="236"/>
      <c r="I3" s="1"/>
      <c r="J3" s="200"/>
      <c r="K3" s="200"/>
      <c r="L3" s="5"/>
      <c r="M3" s="2"/>
      <c r="N3" s="3"/>
      <c r="O3" s="2"/>
      <c r="P3" s="4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3.5" customHeight="1" thickTop="1">
      <c r="A4" s="6"/>
      <c r="B4" s="7"/>
      <c r="C4" s="8"/>
      <c r="D4" s="9"/>
      <c r="E4" s="9" t="s">
        <v>4</v>
      </c>
      <c r="F4" s="1"/>
      <c r="G4" s="9" t="s">
        <v>5</v>
      </c>
      <c r="I4" s="9" t="s">
        <v>3</v>
      </c>
      <c r="J4" s="9"/>
      <c r="K4" s="206" t="s">
        <v>205</v>
      </c>
      <c r="L4" s="2"/>
      <c r="M4" s="2"/>
      <c r="N4" s="3"/>
      <c r="O4" s="2"/>
      <c r="P4" s="4" t="s">
        <v>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2.75" customHeight="1">
      <c r="A5" s="10"/>
      <c r="B5" s="2"/>
      <c r="C5" s="11" t="s">
        <v>6</v>
      </c>
      <c r="D5" s="11" t="s">
        <v>7</v>
      </c>
      <c r="E5" s="11" t="s">
        <v>7</v>
      </c>
      <c r="F5" s="1"/>
      <c r="G5" s="12"/>
      <c r="I5" s="12" t="s">
        <v>8</v>
      </c>
      <c r="J5" s="205" t="s">
        <v>204</v>
      </c>
      <c r="K5" s="205" t="s">
        <v>8</v>
      </c>
      <c r="L5" s="2"/>
      <c r="M5" s="2"/>
      <c r="N5" s="3"/>
      <c r="O5" s="2"/>
      <c r="P5" s="4" t="s">
        <v>6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3.5" customHeight="1" thickBot="1">
      <c r="A6" s="13" t="s">
        <v>9</v>
      </c>
      <c r="B6" s="14"/>
      <c r="C6" s="15" t="s">
        <v>10</v>
      </c>
      <c r="D6" s="16" t="s">
        <v>11</v>
      </c>
      <c r="E6" s="15" t="s">
        <v>12</v>
      </c>
      <c r="F6" s="1"/>
      <c r="G6" s="15" t="s">
        <v>13</v>
      </c>
      <c r="I6" s="15" t="s">
        <v>12</v>
      </c>
      <c r="J6" s="15"/>
      <c r="K6" s="207" t="s">
        <v>12</v>
      </c>
      <c r="L6" s="2"/>
      <c r="M6" s="2"/>
      <c r="N6" s="3"/>
      <c r="O6" s="2"/>
      <c r="P6" s="4" t="s">
        <v>12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3.5" customHeight="1" thickTop="1">
      <c r="A7" s="17" t="s">
        <v>14</v>
      </c>
      <c r="B7" s="18"/>
      <c r="C7" s="19">
        <f>251618.86+460.01</f>
        <v>252078.87</v>
      </c>
      <c r="D7" s="20">
        <v>234705</v>
      </c>
      <c r="E7" s="21"/>
      <c r="F7" s="22"/>
      <c r="G7" s="23"/>
      <c r="I7" s="208">
        <f>FEECALC!K39</f>
        <v>238507</v>
      </c>
      <c r="J7" s="23"/>
      <c r="K7" s="208">
        <f>I7+J7</f>
        <v>238507</v>
      </c>
      <c r="L7" s="24" t="s">
        <v>15</v>
      </c>
      <c r="M7" s="2"/>
      <c r="N7" s="3"/>
      <c r="O7" s="2"/>
      <c r="P7" s="4">
        <v>235532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.75" customHeight="1">
      <c r="A8" s="17" t="s">
        <v>16</v>
      </c>
      <c r="B8" s="25"/>
      <c r="C8" s="19">
        <v>190289.02</v>
      </c>
      <c r="D8" s="26">
        <v>178053</v>
      </c>
      <c r="E8" s="27"/>
      <c r="F8" s="22"/>
      <c r="G8" s="28"/>
      <c r="I8" s="203">
        <f>FEECALC!K45</f>
        <v>180937</v>
      </c>
      <c r="J8" s="28"/>
      <c r="K8" s="203">
        <f>I8+J8</f>
        <v>180937</v>
      </c>
      <c r="L8" s="2" t="s">
        <v>17</v>
      </c>
      <c r="M8" s="2"/>
      <c r="N8" s="3"/>
      <c r="O8" s="2"/>
      <c r="P8" s="4">
        <v>178680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2.75" customHeight="1">
      <c r="A9" s="17" t="s">
        <v>18</v>
      </c>
      <c r="B9" s="25"/>
      <c r="C9" s="19">
        <v>156554.19</v>
      </c>
      <c r="D9" s="26">
        <v>148837</v>
      </c>
      <c r="E9" s="27"/>
      <c r="F9" s="22"/>
      <c r="G9" s="29"/>
      <c r="I9" s="203">
        <f>FEECALC!K52</f>
        <v>152975</v>
      </c>
      <c r="J9" s="29"/>
      <c r="K9" s="203">
        <f t="shared" ref="K9:K20" si="0">I9+J9</f>
        <v>152975</v>
      </c>
      <c r="L9" s="2" t="s">
        <v>19</v>
      </c>
      <c r="M9" s="2"/>
      <c r="N9" s="3"/>
      <c r="O9" s="2"/>
      <c r="P9" s="4">
        <v>146680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 customHeight="1">
      <c r="A10" s="17" t="s">
        <v>20</v>
      </c>
      <c r="B10" s="25"/>
      <c r="C10" s="19">
        <v>16256.42</v>
      </c>
      <c r="D10" s="27">
        <v>0</v>
      </c>
      <c r="E10" s="27"/>
      <c r="F10" s="22"/>
      <c r="G10" s="27"/>
      <c r="I10" s="203">
        <v>0</v>
      </c>
      <c r="J10" s="27"/>
      <c r="K10" s="203">
        <f t="shared" si="0"/>
        <v>0</v>
      </c>
      <c r="L10" s="2"/>
      <c r="M10" s="2"/>
      <c r="N10" s="3"/>
      <c r="O10" s="2"/>
      <c r="P10" s="4">
        <v>0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.75" customHeight="1">
      <c r="A11" s="30" t="s">
        <v>21</v>
      </c>
      <c r="B11" s="18"/>
      <c r="C11" s="19">
        <v>6116.64</v>
      </c>
      <c r="D11" s="27">
        <v>4200</v>
      </c>
      <c r="E11" s="27"/>
      <c r="F11" s="22"/>
      <c r="G11" s="31"/>
      <c r="I11" s="203">
        <f>FEECALC!K66</f>
        <v>230</v>
      </c>
      <c r="J11" s="31"/>
      <c r="K11" s="203">
        <f t="shared" si="0"/>
        <v>230</v>
      </c>
      <c r="L11" s="32" t="s">
        <v>15</v>
      </c>
      <c r="M11" s="22"/>
      <c r="N11" s="3"/>
      <c r="O11" s="2"/>
      <c r="P11" s="4">
        <v>10500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75" customHeight="1">
      <c r="A12" s="17" t="s">
        <v>22</v>
      </c>
      <c r="B12" s="25"/>
      <c r="C12" s="19">
        <f>50650+8757.64+12282.19</f>
        <v>71689.83</v>
      </c>
      <c r="D12" s="27">
        <v>0</v>
      </c>
      <c r="E12" s="27"/>
      <c r="F12" s="22"/>
      <c r="G12" s="27"/>
      <c r="I12" s="203">
        <v>0</v>
      </c>
      <c r="J12" s="27"/>
      <c r="K12" s="203">
        <f t="shared" si="0"/>
        <v>0</v>
      </c>
      <c r="L12" s="2"/>
      <c r="M12" s="2"/>
      <c r="N12" s="3"/>
      <c r="O12" s="2"/>
      <c r="P12" s="4"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2.75" customHeight="1">
      <c r="A13" s="17" t="s">
        <v>23</v>
      </c>
      <c r="B13" s="25"/>
      <c r="C13" s="19">
        <v>38109.67</v>
      </c>
      <c r="D13" s="27">
        <v>28164.84</v>
      </c>
      <c r="E13" s="27">
        <v>28164.84</v>
      </c>
      <c r="F13" s="33"/>
      <c r="G13" s="34">
        <f>10000+7992+152</f>
        <v>18144</v>
      </c>
      <c r="I13" s="203">
        <v>0</v>
      </c>
      <c r="J13" s="34">
        <f>10000+7992+152+13700.12+12596.49+21000+22000+5000+3000+1000+15744.21</f>
        <v>112184.82</v>
      </c>
      <c r="K13" s="203">
        <f>I13+J13</f>
        <v>112184.82</v>
      </c>
      <c r="L13" s="220" t="s">
        <v>210</v>
      </c>
      <c r="M13" s="2"/>
      <c r="N13" s="3"/>
      <c r="O13" s="2"/>
      <c r="P13" s="4"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customHeight="1">
      <c r="A14" s="17" t="s">
        <v>23</v>
      </c>
      <c r="B14" s="25"/>
      <c r="C14" s="19"/>
      <c r="D14" s="27">
        <v>25000</v>
      </c>
      <c r="E14" s="35"/>
      <c r="F14" s="22"/>
      <c r="G14" s="27"/>
      <c r="I14" s="203">
        <f t="shared" ref="I14" si="1">G14</f>
        <v>0</v>
      </c>
      <c r="J14" s="27"/>
      <c r="K14" s="203">
        <f t="shared" si="0"/>
        <v>0</v>
      </c>
      <c r="L14" s="2"/>
      <c r="M14" s="2"/>
      <c r="N14" s="3"/>
      <c r="O14" s="2"/>
      <c r="P14" s="4">
        <v>10266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2.75" customHeight="1">
      <c r="A15" s="17" t="s">
        <v>24</v>
      </c>
      <c r="B15" s="25"/>
      <c r="C15" s="19">
        <v>125902.56</v>
      </c>
      <c r="D15" s="27">
        <v>161844.79999999999</v>
      </c>
      <c r="E15" s="27">
        <v>161844.79999999999</v>
      </c>
      <c r="F15" s="22"/>
      <c r="G15" s="27"/>
      <c r="I15" s="203">
        <v>0</v>
      </c>
      <c r="J15" s="27">
        <f>147856.16+62362.17</f>
        <v>210218.33000000002</v>
      </c>
      <c r="K15" s="203">
        <f t="shared" si="0"/>
        <v>210218.33000000002</v>
      </c>
      <c r="L15" s="2" t="s">
        <v>214</v>
      </c>
      <c r="M15" s="2"/>
      <c r="N15" s="3"/>
      <c r="O15" s="2"/>
      <c r="P15" s="4"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customHeight="1">
      <c r="A16" s="17" t="s">
        <v>25</v>
      </c>
      <c r="B16" s="25"/>
      <c r="C16" s="19"/>
      <c r="D16" s="27">
        <v>0</v>
      </c>
      <c r="E16" s="27"/>
      <c r="F16" s="22"/>
      <c r="G16" s="27"/>
      <c r="I16" s="203">
        <v>0</v>
      </c>
      <c r="J16" s="27"/>
      <c r="K16" s="203">
        <f t="shared" si="0"/>
        <v>0</v>
      </c>
      <c r="L16" s="2"/>
      <c r="M16" s="2"/>
      <c r="N16" s="3"/>
      <c r="O16" s="2"/>
      <c r="P16" s="4"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2.75" customHeight="1">
      <c r="A17" s="17" t="s">
        <v>26</v>
      </c>
      <c r="B17" s="25"/>
      <c r="C17" s="19">
        <v>61666</v>
      </c>
      <c r="D17" s="27">
        <f>61666-20031</f>
        <v>41635</v>
      </c>
      <c r="E17" s="27">
        <v>-20031</v>
      </c>
      <c r="F17" s="22"/>
      <c r="G17" s="36"/>
      <c r="I17" s="203">
        <v>30833</v>
      </c>
      <c r="J17" s="36"/>
      <c r="K17" s="203">
        <f t="shared" si="0"/>
        <v>30833</v>
      </c>
      <c r="L17" s="2" t="s">
        <v>27</v>
      </c>
      <c r="M17" s="2"/>
      <c r="N17" s="3"/>
      <c r="O17" s="2"/>
      <c r="P17" s="4">
        <v>61666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2.75" customHeight="1">
      <c r="A18" s="17" t="s">
        <v>28</v>
      </c>
      <c r="B18" s="25"/>
      <c r="C18" s="19">
        <v>32521.98</v>
      </c>
      <c r="D18" s="27">
        <v>14454.58</v>
      </c>
      <c r="E18" s="27">
        <v>14454.58</v>
      </c>
      <c r="F18" s="22"/>
      <c r="G18" s="27"/>
      <c r="I18" s="203">
        <v>0</v>
      </c>
      <c r="J18" s="27">
        <v>31701.89</v>
      </c>
      <c r="K18" s="203">
        <f t="shared" si="0"/>
        <v>31701.89</v>
      </c>
      <c r="L18" s="2" t="s">
        <v>217</v>
      </c>
      <c r="M18" s="2"/>
      <c r="N18" s="3"/>
      <c r="O18" s="2"/>
      <c r="P18" s="4"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.75" customHeight="1">
      <c r="A19" s="37" t="s">
        <v>29</v>
      </c>
      <c r="B19" s="38"/>
      <c r="C19" s="39">
        <v>67249</v>
      </c>
      <c r="D19" s="40">
        <v>67249</v>
      </c>
      <c r="E19" s="40"/>
      <c r="F19" s="41"/>
      <c r="G19" s="40"/>
      <c r="I19" s="209">
        <v>67249</v>
      </c>
      <c r="J19" s="40"/>
      <c r="K19" s="203">
        <f t="shared" si="0"/>
        <v>67249</v>
      </c>
      <c r="L19" s="2" t="s">
        <v>30</v>
      </c>
      <c r="M19" s="2"/>
      <c r="N19" s="3"/>
      <c r="O19" s="2"/>
      <c r="P19" s="4"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3.5" customHeight="1" thickBot="1">
      <c r="A20" s="37" t="s">
        <v>31</v>
      </c>
      <c r="B20" s="38"/>
      <c r="C20" s="39">
        <v>198920.88</v>
      </c>
      <c r="D20" s="42">
        <v>238266.29</v>
      </c>
      <c r="E20" s="40">
        <v>238266.29</v>
      </c>
      <c r="F20" s="41"/>
      <c r="G20" s="40"/>
      <c r="I20" s="209">
        <v>0</v>
      </c>
      <c r="J20" s="40">
        <v>269844.49</v>
      </c>
      <c r="K20" s="203">
        <f t="shared" si="0"/>
        <v>269844.49</v>
      </c>
      <c r="L20" s="2"/>
      <c r="M20" s="2"/>
      <c r="N20" s="3"/>
      <c r="O20" s="2"/>
      <c r="P20" s="4" t="s">
        <v>32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4.25" customHeight="1" thickTop="1" thickBot="1">
      <c r="A21" s="43" t="s">
        <v>33</v>
      </c>
      <c r="B21" s="44"/>
      <c r="C21" s="45">
        <f t="shared" ref="C21:E21" si="2">SUM(C7:C20)</f>
        <v>1217355.06</v>
      </c>
      <c r="D21" s="46">
        <f t="shared" si="2"/>
        <v>1142409.5099999998</v>
      </c>
      <c r="E21" s="46">
        <f t="shared" si="2"/>
        <v>422699.51</v>
      </c>
      <c r="F21" s="33"/>
      <c r="G21" s="46">
        <f>SUM(G7:G20)</f>
        <v>18144</v>
      </c>
      <c r="I21" s="46">
        <f>SUM(I7:I20)</f>
        <v>670731</v>
      </c>
      <c r="J21" s="46">
        <f>SUM(J7:J20)</f>
        <v>623949.53</v>
      </c>
      <c r="K21" s="46">
        <f>SUM(K7:K20)</f>
        <v>1294680.5300000003</v>
      </c>
      <c r="L21" s="2"/>
      <c r="M21" s="2"/>
      <c r="N21" s="3"/>
      <c r="O21" s="2"/>
      <c r="P21" s="4">
        <v>643324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4.25" customHeight="1" thickTop="1" thickBot="1">
      <c r="A22" s="47" t="s">
        <v>34</v>
      </c>
      <c r="B22" s="47"/>
      <c r="C22" s="48"/>
      <c r="D22" s="49"/>
      <c r="E22" s="50"/>
      <c r="F22" s="22"/>
      <c r="G22" s="22"/>
      <c r="J22" s="22"/>
      <c r="K22" s="22"/>
      <c r="L22" s="2"/>
      <c r="M22" s="2"/>
      <c r="N22" s="3"/>
      <c r="O22" s="2"/>
      <c r="P22" s="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3.5" customHeight="1" thickTop="1">
      <c r="A23" s="51" t="s">
        <v>35</v>
      </c>
      <c r="B23" s="52"/>
      <c r="C23" s="53">
        <f>23567.99+1500</f>
        <v>25067.99</v>
      </c>
      <c r="D23" s="54">
        <f>30888+1536</f>
        <v>32424</v>
      </c>
      <c r="E23" s="54">
        <v>1536</v>
      </c>
      <c r="F23" s="33"/>
      <c r="G23" s="55"/>
      <c r="I23" s="204">
        <f>'Staff Director Stipends'!I28+G23</f>
        <v>33264</v>
      </c>
      <c r="J23" s="204"/>
      <c r="K23" s="204">
        <f t="shared" ref="K23:K28" si="3">I23+J23</f>
        <v>33264</v>
      </c>
      <c r="L23" s="47" t="s">
        <v>15</v>
      </c>
      <c r="M23" s="2" t="s">
        <v>36</v>
      </c>
      <c r="N23" s="3"/>
      <c r="O23" s="2"/>
      <c r="P23" s="4">
        <v>24300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2.75" customHeight="1">
      <c r="A24" s="17" t="s">
        <v>37</v>
      </c>
      <c r="B24" s="25"/>
      <c r="C24" s="19">
        <v>37645.879999999997</v>
      </c>
      <c r="D24" s="27">
        <v>51024</v>
      </c>
      <c r="E24" s="35"/>
      <c r="F24" s="33"/>
      <c r="G24" s="31"/>
      <c r="I24" s="203">
        <f>'STIPENDS '!I14</f>
        <v>51024</v>
      </c>
      <c r="J24" s="203"/>
      <c r="K24" s="203">
        <f t="shared" si="3"/>
        <v>51024</v>
      </c>
      <c r="L24" s="47" t="s">
        <v>38</v>
      </c>
      <c r="M24" s="2" t="s">
        <v>39</v>
      </c>
      <c r="N24" s="3"/>
      <c r="O24" s="2"/>
      <c r="P24" s="4">
        <v>37500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2.75" customHeight="1">
      <c r="A25" s="17" t="s">
        <v>40</v>
      </c>
      <c r="B25" s="25"/>
      <c r="C25" s="19">
        <v>45467.91</v>
      </c>
      <c r="D25" s="27">
        <v>21120</v>
      </c>
      <c r="E25" s="35"/>
      <c r="F25" s="33"/>
      <c r="G25" s="31">
        <v>7992</v>
      </c>
      <c r="I25" s="203">
        <v>19008</v>
      </c>
      <c r="J25" s="203">
        <v>7992</v>
      </c>
      <c r="K25" s="203">
        <f t="shared" si="3"/>
        <v>27000</v>
      </c>
      <c r="L25" s="229" t="s">
        <v>211</v>
      </c>
      <c r="M25" s="2"/>
      <c r="N25" s="3"/>
      <c r="O25" s="2"/>
      <c r="P25" s="4">
        <v>44700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75" customHeight="1">
      <c r="A26" s="30" t="s">
        <v>41</v>
      </c>
      <c r="B26" s="18"/>
      <c r="C26" s="19">
        <v>1969.46</v>
      </c>
      <c r="D26" s="27">
        <v>2471.1079999999997</v>
      </c>
      <c r="E26" s="35"/>
      <c r="F26" s="33"/>
      <c r="G26" s="31">
        <f>2628-2476</f>
        <v>152</v>
      </c>
      <c r="I26" s="203">
        <f>TAXES!G18+0.5</f>
        <v>2476.1239999999998</v>
      </c>
      <c r="J26" s="203">
        <f>2628-2476</f>
        <v>152</v>
      </c>
      <c r="K26" s="203">
        <f t="shared" si="3"/>
        <v>2628.1239999999998</v>
      </c>
      <c r="L26" s="230" t="s">
        <v>212</v>
      </c>
      <c r="M26" s="2"/>
      <c r="N26" s="3"/>
      <c r="O26" s="2"/>
      <c r="P26" s="4">
        <v>2024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 customHeight="1">
      <c r="A27" s="17" t="s">
        <v>42</v>
      </c>
      <c r="B27" s="18"/>
      <c r="C27" s="19">
        <v>3216.94</v>
      </c>
      <c r="D27" s="27">
        <v>3500</v>
      </c>
      <c r="E27" s="35"/>
      <c r="F27" s="33"/>
      <c r="G27" s="31"/>
      <c r="I27" s="203">
        <v>3500</v>
      </c>
      <c r="J27" s="203"/>
      <c r="K27" s="203">
        <f t="shared" si="3"/>
        <v>3500</v>
      </c>
      <c r="L27" s="24" t="s">
        <v>15</v>
      </c>
      <c r="M27" s="2"/>
      <c r="N27" s="3"/>
      <c r="O27" s="2"/>
      <c r="P27" s="4">
        <v>3500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 customHeight="1">
      <c r="A28" s="30" t="s">
        <v>43</v>
      </c>
      <c r="B28" s="18"/>
      <c r="C28" s="19">
        <v>584.16</v>
      </c>
      <c r="D28" s="27">
        <f>13470+1032.35</f>
        <v>14502.35</v>
      </c>
      <c r="E28" s="27">
        <v>1032.3499999999999</v>
      </c>
      <c r="F28" s="33"/>
      <c r="G28" s="57">
        <v>10000</v>
      </c>
      <c r="I28" s="210">
        <v>679</v>
      </c>
      <c r="J28" s="210">
        <f>10000+15744.21</f>
        <v>25744.21</v>
      </c>
      <c r="K28" s="203">
        <f t="shared" si="3"/>
        <v>26423.21</v>
      </c>
      <c r="L28" s="231" t="s">
        <v>213</v>
      </c>
      <c r="M28" s="2"/>
      <c r="N28" s="3"/>
      <c r="O28" s="2"/>
      <c r="P28" s="4">
        <v>970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customHeight="1">
      <c r="A29" s="17" t="s">
        <v>44</v>
      </c>
      <c r="B29" s="18"/>
      <c r="C29" s="19"/>
      <c r="D29" s="27">
        <v>0</v>
      </c>
      <c r="E29" s="35"/>
      <c r="F29" s="33"/>
      <c r="G29" s="58"/>
      <c r="I29" s="203">
        <v>0</v>
      </c>
      <c r="J29" s="209"/>
      <c r="K29" s="203">
        <f t="shared" ref="K29:K58" si="4">I29+J29</f>
        <v>0</v>
      </c>
      <c r="L29" s="24" t="s">
        <v>15</v>
      </c>
      <c r="M29" s="2"/>
      <c r="N29" s="3"/>
      <c r="O29" s="2"/>
      <c r="P29" s="4"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customHeight="1">
      <c r="A30" s="30" t="s">
        <v>45</v>
      </c>
      <c r="B30" s="18"/>
      <c r="C30" s="19">
        <v>612.04999999999995</v>
      </c>
      <c r="D30" s="27">
        <v>600</v>
      </c>
      <c r="E30" s="35"/>
      <c r="F30" s="33"/>
      <c r="G30" s="31"/>
      <c r="I30" s="203">
        <v>600</v>
      </c>
      <c r="J30" s="203"/>
      <c r="K30" s="203">
        <f t="shared" si="4"/>
        <v>600</v>
      </c>
      <c r="L30" s="24" t="s">
        <v>15</v>
      </c>
      <c r="M30" s="2"/>
      <c r="N30" s="3"/>
      <c r="O30" s="2"/>
      <c r="P30" s="4">
        <v>600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>
      <c r="A31" s="30" t="s">
        <v>46</v>
      </c>
      <c r="B31" s="18"/>
      <c r="C31" s="19">
        <v>0</v>
      </c>
      <c r="D31" s="27">
        <v>900</v>
      </c>
      <c r="E31" s="35"/>
      <c r="F31" s="33"/>
      <c r="G31" s="31"/>
      <c r="I31" s="203">
        <v>900</v>
      </c>
      <c r="J31" s="203"/>
      <c r="K31" s="203">
        <f t="shared" si="4"/>
        <v>900</v>
      </c>
      <c r="L31" s="24"/>
      <c r="M31" s="2"/>
      <c r="N31" s="3"/>
      <c r="O31" s="2"/>
      <c r="P31" s="4">
        <v>900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customHeight="1">
      <c r="A32" s="30" t="s">
        <v>47</v>
      </c>
      <c r="B32" s="18"/>
      <c r="C32" s="19">
        <v>5524.78</v>
      </c>
      <c r="D32" s="27">
        <v>6300</v>
      </c>
      <c r="E32" s="35"/>
      <c r="F32" s="33"/>
      <c r="G32" s="31"/>
      <c r="I32" s="203">
        <v>6300</v>
      </c>
      <c r="J32" s="203"/>
      <c r="K32" s="203">
        <f t="shared" si="4"/>
        <v>6300</v>
      </c>
      <c r="L32" s="24" t="s">
        <v>15</v>
      </c>
      <c r="M32" s="2"/>
      <c r="N32" s="3"/>
      <c r="O32" s="2"/>
      <c r="P32" s="4">
        <v>6300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 customHeight="1">
      <c r="A33" s="30" t="s">
        <v>48</v>
      </c>
      <c r="B33" s="18"/>
      <c r="C33" s="19">
        <v>2343.12</v>
      </c>
      <c r="D33" s="27">
        <v>2343</v>
      </c>
      <c r="E33" s="35"/>
      <c r="F33" s="33"/>
      <c r="G33" s="31"/>
      <c r="I33" s="203">
        <v>2343</v>
      </c>
      <c r="J33" s="203"/>
      <c r="K33" s="203">
        <f t="shared" si="4"/>
        <v>2343</v>
      </c>
      <c r="L33" s="24" t="s">
        <v>15</v>
      </c>
      <c r="M33" s="22"/>
      <c r="N33" s="3"/>
      <c r="O33" s="2"/>
      <c r="P33" s="4">
        <v>2343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 customHeight="1">
      <c r="A34" s="30" t="s">
        <v>49</v>
      </c>
      <c r="B34" s="18"/>
      <c r="C34" s="19">
        <v>0</v>
      </c>
      <c r="D34" s="27">
        <v>400</v>
      </c>
      <c r="E34" s="35"/>
      <c r="F34" s="33"/>
      <c r="G34" s="31"/>
      <c r="I34" s="203">
        <v>400</v>
      </c>
      <c r="J34" s="203"/>
      <c r="K34" s="203">
        <f t="shared" si="4"/>
        <v>400</v>
      </c>
      <c r="L34" s="24" t="s">
        <v>15</v>
      </c>
      <c r="M34" s="2"/>
      <c r="N34" s="3"/>
      <c r="O34" s="2"/>
      <c r="P34" s="4">
        <v>400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 customHeight="1">
      <c r="A35" s="30" t="s">
        <v>50</v>
      </c>
      <c r="B35" s="18"/>
      <c r="C35" s="19">
        <v>471.39</v>
      </c>
      <c r="D35" s="27">
        <v>3000</v>
      </c>
      <c r="E35" s="27"/>
      <c r="F35" s="22"/>
      <c r="G35" s="31"/>
      <c r="I35" s="203">
        <v>3000</v>
      </c>
      <c r="J35" s="203"/>
      <c r="K35" s="203">
        <f t="shared" si="4"/>
        <v>3000</v>
      </c>
      <c r="L35" s="24" t="s">
        <v>15</v>
      </c>
      <c r="M35" s="2"/>
      <c r="N35" s="3"/>
      <c r="O35" s="2"/>
      <c r="P35" s="4">
        <v>4000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 customHeight="1">
      <c r="A36" s="30" t="s">
        <v>51</v>
      </c>
      <c r="B36" s="18"/>
      <c r="C36" s="19"/>
      <c r="D36" s="27">
        <v>0</v>
      </c>
      <c r="E36" s="27"/>
      <c r="F36" s="22"/>
      <c r="G36" s="31"/>
      <c r="I36" s="203">
        <v>0</v>
      </c>
      <c r="J36" s="203"/>
      <c r="K36" s="203">
        <f t="shared" si="4"/>
        <v>0</v>
      </c>
      <c r="L36" s="2"/>
      <c r="M36" s="2"/>
      <c r="N36" s="3"/>
      <c r="O36" s="2"/>
      <c r="P36" s="4">
        <v>0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 customHeight="1">
      <c r="A37" s="30" t="s">
        <v>52</v>
      </c>
      <c r="B37" s="18"/>
      <c r="C37" s="19">
        <v>73.63</v>
      </c>
      <c r="D37" s="27">
        <v>2000</v>
      </c>
      <c r="E37" s="27"/>
      <c r="F37" s="22"/>
      <c r="G37" s="31"/>
      <c r="I37" s="203">
        <v>2000</v>
      </c>
      <c r="J37" s="203"/>
      <c r="K37" s="203">
        <f t="shared" si="4"/>
        <v>2000</v>
      </c>
      <c r="L37" s="24" t="s">
        <v>15</v>
      </c>
      <c r="M37" s="2"/>
      <c r="N37" s="3"/>
      <c r="O37" s="2"/>
      <c r="P37" s="4">
        <v>3000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customHeight="1">
      <c r="A38" s="17" t="s">
        <v>53</v>
      </c>
      <c r="B38" s="25"/>
      <c r="C38" s="19">
        <v>500</v>
      </c>
      <c r="D38" s="27">
        <f>2500+1000</f>
        <v>3500</v>
      </c>
      <c r="E38" s="27">
        <v>1000</v>
      </c>
      <c r="F38" s="22"/>
      <c r="G38" s="31"/>
      <c r="H38" s="49"/>
      <c r="I38" s="203">
        <v>2500</v>
      </c>
      <c r="J38" s="203">
        <f>5455.48+21000</f>
        <v>26455.48</v>
      </c>
      <c r="K38" s="203">
        <f t="shared" si="4"/>
        <v>28955.48</v>
      </c>
      <c r="L38" s="24" t="s">
        <v>213</v>
      </c>
      <c r="M38" s="2"/>
      <c r="N38" s="3"/>
      <c r="O38" s="2"/>
      <c r="P38" s="4">
        <v>1500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customHeight="1">
      <c r="A39" s="17" t="s">
        <v>54</v>
      </c>
      <c r="B39" s="25"/>
      <c r="C39" s="19">
        <v>720.94</v>
      </c>
      <c r="D39" s="34">
        <v>1500</v>
      </c>
      <c r="E39" s="27"/>
      <c r="F39" s="22"/>
      <c r="G39" s="31"/>
      <c r="I39" s="210">
        <v>1000</v>
      </c>
      <c r="J39" s="203">
        <v>1032.3800000000001</v>
      </c>
      <c r="K39" s="203">
        <f t="shared" si="4"/>
        <v>2032.38</v>
      </c>
      <c r="L39" s="24" t="s">
        <v>213</v>
      </c>
      <c r="M39" s="2"/>
      <c r="N39" s="3"/>
      <c r="O39" s="2"/>
      <c r="P39" s="4">
        <v>1500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customHeight="1">
      <c r="A40" s="17" t="s">
        <v>55</v>
      </c>
      <c r="B40" s="25"/>
      <c r="C40" s="19">
        <v>800.44</v>
      </c>
      <c r="D40" s="27">
        <v>2000</v>
      </c>
      <c r="E40" s="27"/>
      <c r="F40" s="22"/>
      <c r="G40" s="31"/>
      <c r="I40" s="210">
        <v>500</v>
      </c>
      <c r="J40" s="203"/>
      <c r="K40" s="203">
        <f t="shared" si="4"/>
        <v>500</v>
      </c>
      <c r="L40" s="24" t="s">
        <v>15</v>
      </c>
      <c r="M40" s="2"/>
      <c r="N40" s="3"/>
      <c r="O40" s="2"/>
      <c r="P40" s="4">
        <v>2000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customHeight="1">
      <c r="A41" s="17" t="s">
        <v>56</v>
      </c>
      <c r="B41" s="25"/>
      <c r="C41" s="19">
        <v>0</v>
      </c>
      <c r="D41" s="27">
        <v>1000</v>
      </c>
      <c r="E41" s="27"/>
      <c r="F41" s="22"/>
      <c r="G41" s="31"/>
      <c r="H41" s="49"/>
      <c r="I41" s="210">
        <v>500</v>
      </c>
      <c r="J41" s="203">
        <v>584.26</v>
      </c>
      <c r="K41" s="203">
        <f t="shared" si="4"/>
        <v>1084.26</v>
      </c>
      <c r="L41" s="24" t="s">
        <v>213</v>
      </c>
      <c r="M41" s="2"/>
      <c r="N41" s="3"/>
      <c r="O41" s="2"/>
      <c r="P41" s="4">
        <v>500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customHeight="1">
      <c r="A42" s="30" t="s">
        <v>57</v>
      </c>
      <c r="B42" s="18"/>
      <c r="C42" s="19">
        <v>4000</v>
      </c>
      <c r="D42" s="27">
        <v>4000</v>
      </c>
      <c r="E42" s="27"/>
      <c r="F42" s="22"/>
      <c r="G42" s="31"/>
      <c r="I42" s="203">
        <v>4000</v>
      </c>
      <c r="J42" s="203">
        <v>1000</v>
      </c>
      <c r="K42" s="203">
        <f t="shared" si="4"/>
        <v>5000</v>
      </c>
      <c r="L42" s="24" t="s">
        <v>15</v>
      </c>
      <c r="M42" s="2"/>
      <c r="N42" s="3"/>
      <c r="O42" s="2"/>
      <c r="P42" s="4">
        <v>4000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customHeight="1">
      <c r="A43" s="17" t="s">
        <v>58</v>
      </c>
      <c r="B43" s="25"/>
      <c r="C43" s="19">
        <v>0</v>
      </c>
      <c r="D43" s="27">
        <v>250</v>
      </c>
      <c r="E43" s="27"/>
      <c r="F43" s="22"/>
      <c r="G43" s="31"/>
      <c r="I43" s="203">
        <v>250</v>
      </c>
      <c r="J43" s="203"/>
      <c r="K43" s="203">
        <f t="shared" si="4"/>
        <v>250</v>
      </c>
      <c r="L43" s="24" t="s">
        <v>15</v>
      </c>
      <c r="M43" s="2"/>
      <c r="N43" s="59"/>
      <c r="O43" s="2"/>
      <c r="P43" s="4">
        <v>250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 customHeight="1">
      <c r="A44" s="37" t="s">
        <v>59</v>
      </c>
      <c r="B44" s="25"/>
      <c r="C44" s="19">
        <f>3000+1596+19343.67+2053.05</f>
        <v>25992.719999999998</v>
      </c>
      <c r="D44" s="203">
        <f>7403+7000</f>
        <v>14403</v>
      </c>
      <c r="E44" s="27">
        <v>7000</v>
      </c>
      <c r="F44" s="22"/>
      <c r="G44" s="31"/>
      <c r="I44" s="203">
        <v>7400</v>
      </c>
      <c r="J44" s="203">
        <f>214+22000</f>
        <v>22214</v>
      </c>
      <c r="K44" s="203">
        <f t="shared" si="4"/>
        <v>29614</v>
      </c>
      <c r="L44" s="24" t="s">
        <v>213</v>
      </c>
      <c r="M44" s="60"/>
      <c r="N44" s="61"/>
      <c r="O44" s="62"/>
      <c r="P44" s="4">
        <v>3000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customHeight="1">
      <c r="A45" s="17" t="s">
        <v>60</v>
      </c>
      <c r="B45" s="25"/>
      <c r="C45" s="19"/>
      <c r="D45" s="27">
        <v>0</v>
      </c>
      <c r="E45" s="27"/>
      <c r="F45" s="22"/>
      <c r="G45" s="31"/>
      <c r="I45" s="203">
        <v>0</v>
      </c>
      <c r="J45" s="203"/>
      <c r="K45" s="203">
        <f t="shared" si="4"/>
        <v>0</v>
      </c>
      <c r="L45" s="24" t="s">
        <v>15</v>
      </c>
      <c r="M45" s="2"/>
      <c r="N45" s="3"/>
      <c r="O45" s="2"/>
      <c r="P45" s="4">
        <v>0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 customHeight="1">
      <c r="A46" s="17" t="s">
        <v>61</v>
      </c>
      <c r="B46" s="25"/>
      <c r="C46" s="19"/>
      <c r="D46" s="27">
        <v>0</v>
      </c>
      <c r="E46" s="27"/>
      <c r="F46" s="22"/>
      <c r="G46" s="31"/>
      <c r="I46" s="203">
        <v>0</v>
      </c>
      <c r="J46" s="203"/>
      <c r="K46" s="203">
        <f t="shared" si="4"/>
        <v>0</v>
      </c>
      <c r="L46" s="24" t="s">
        <v>15</v>
      </c>
      <c r="M46" s="2"/>
      <c r="N46" s="3"/>
      <c r="O46" s="2"/>
      <c r="P46" s="4">
        <v>0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 customHeight="1">
      <c r="A47" s="17" t="s">
        <v>62</v>
      </c>
      <c r="B47" s="25"/>
      <c r="C47" s="19">
        <v>0</v>
      </c>
      <c r="D47" s="27">
        <v>400</v>
      </c>
      <c r="E47" s="27"/>
      <c r="F47" s="22"/>
      <c r="G47" s="31"/>
      <c r="I47" s="203">
        <v>400</v>
      </c>
      <c r="J47" s="203"/>
      <c r="K47" s="203">
        <f t="shared" si="4"/>
        <v>400</v>
      </c>
      <c r="L47" s="24" t="s">
        <v>15</v>
      </c>
      <c r="M47" s="2"/>
      <c r="N47" s="3"/>
      <c r="O47" s="2"/>
      <c r="P47" s="4">
        <v>400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 customHeight="1">
      <c r="A48" s="30" t="s">
        <v>63</v>
      </c>
      <c r="B48" s="25"/>
      <c r="C48" s="19">
        <v>3456.57</v>
      </c>
      <c r="D48" s="27">
        <v>0</v>
      </c>
      <c r="E48" s="27"/>
      <c r="F48" s="22"/>
      <c r="G48" s="31"/>
      <c r="I48" s="203">
        <f>8766-248</f>
        <v>8518</v>
      </c>
      <c r="J48" s="203"/>
      <c r="K48" s="203">
        <f t="shared" si="4"/>
        <v>8518</v>
      </c>
      <c r="L48" s="24" t="s">
        <v>15</v>
      </c>
      <c r="M48" s="2"/>
      <c r="N48" s="3"/>
      <c r="O48" s="2"/>
      <c r="P48" s="4">
        <v>8766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customHeight="1">
      <c r="A49" s="30" t="s">
        <v>64</v>
      </c>
      <c r="B49" s="18"/>
      <c r="C49" s="19">
        <v>2655.44</v>
      </c>
      <c r="D49" s="27">
        <v>2613</v>
      </c>
      <c r="E49" s="27"/>
      <c r="F49" s="22"/>
      <c r="G49" s="31"/>
      <c r="I49" s="203">
        <v>2613</v>
      </c>
      <c r="J49" s="203"/>
      <c r="K49" s="203">
        <f t="shared" si="4"/>
        <v>2613</v>
      </c>
      <c r="L49" s="24" t="s">
        <v>15</v>
      </c>
      <c r="M49" s="2"/>
      <c r="N49" s="3"/>
      <c r="O49" s="2"/>
      <c r="P49" s="4">
        <v>4062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customHeight="1">
      <c r="A50" s="17" t="s">
        <v>65</v>
      </c>
      <c r="B50" s="25"/>
      <c r="C50" s="19">
        <v>45928</v>
      </c>
      <c r="D50" s="27">
        <v>48706</v>
      </c>
      <c r="E50" s="27"/>
      <c r="F50" s="22"/>
      <c r="G50" s="31"/>
      <c r="I50" s="203">
        <v>51227</v>
      </c>
      <c r="J50" s="203"/>
      <c r="K50" s="203">
        <f t="shared" si="4"/>
        <v>51227</v>
      </c>
      <c r="L50" s="24" t="s">
        <v>15</v>
      </c>
      <c r="M50" s="63"/>
      <c r="N50" s="3"/>
      <c r="O50" s="2"/>
      <c r="P50" s="4">
        <v>45928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customHeight="1">
      <c r="A51" s="30" t="s">
        <v>66</v>
      </c>
      <c r="B51" s="18"/>
      <c r="C51" s="19">
        <v>41970</v>
      </c>
      <c r="D51" s="27">
        <v>43428</v>
      </c>
      <c r="E51" s="27"/>
      <c r="F51" s="22"/>
      <c r="G51" s="31"/>
      <c r="I51" s="203">
        <v>40928.861662338306</v>
      </c>
      <c r="J51" s="203"/>
      <c r="K51" s="203">
        <f t="shared" si="4"/>
        <v>40928.861662338306</v>
      </c>
      <c r="L51" s="24" t="s">
        <v>15</v>
      </c>
      <c r="M51" s="64"/>
      <c r="N51" s="3"/>
      <c r="O51" s="2"/>
      <c r="P51" s="4">
        <v>41970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customHeight="1">
      <c r="A52" s="30" t="s">
        <v>67</v>
      </c>
      <c r="B52" s="18"/>
      <c r="C52" s="19">
        <v>11535</v>
      </c>
      <c r="D52" s="27">
        <v>11739</v>
      </c>
      <c r="E52" s="27"/>
      <c r="F52" s="22"/>
      <c r="G52" s="31"/>
      <c r="I52" s="203">
        <v>9751.8297153223903</v>
      </c>
      <c r="J52" s="203"/>
      <c r="K52" s="203">
        <f t="shared" si="4"/>
        <v>9751.8297153223903</v>
      </c>
      <c r="L52" s="24" t="s">
        <v>15</v>
      </c>
      <c r="M52" s="64"/>
      <c r="N52" s="3"/>
      <c r="O52" s="2"/>
      <c r="P52" s="4">
        <v>11535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customHeight="1">
      <c r="A53" s="30" t="s">
        <v>68</v>
      </c>
      <c r="B53" s="18"/>
      <c r="C53" s="19">
        <f>1455.5+50000+3000+6440</f>
        <v>60895.5</v>
      </c>
      <c r="D53" s="27">
        <v>0</v>
      </c>
      <c r="E53" s="27"/>
      <c r="F53" s="22"/>
      <c r="G53" s="31"/>
      <c r="I53" s="203">
        <v>0</v>
      </c>
      <c r="J53" s="203"/>
      <c r="K53" s="203">
        <f t="shared" si="4"/>
        <v>0</v>
      </c>
      <c r="L53" s="24"/>
      <c r="M53" s="22"/>
      <c r="N53" s="3"/>
      <c r="O53" s="2"/>
      <c r="P53" s="4">
        <v>0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customHeight="1">
      <c r="A54" s="30" t="s">
        <v>69</v>
      </c>
      <c r="B54" s="18"/>
      <c r="C54" s="19"/>
      <c r="D54" s="27">
        <v>50</v>
      </c>
      <c r="E54" s="27"/>
      <c r="F54" s="22"/>
      <c r="G54" s="31"/>
      <c r="I54" s="203">
        <v>50</v>
      </c>
      <c r="J54" s="203"/>
      <c r="K54" s="203">
        <f t="shared" si="4"/>
        <v>50</v>
      </c>
      <c r="L54" s="24" t="s">
        <v>15</v>
      </c>
      <c r="M54" s="2"/>
      <c r="N54" s="3"/>
      <c r="O54" s="2"/>
      <c r="P54" s="4">
        <v>50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customHeight="1">
      <c r="A55" s="30" t="s">
        <v>70</v>
      </c>
      <c r="B55" s="18"/>
      <c r="C55" s="19"/>
      <c r="D55" s="27">
        <v>0</v>
      </c>
      <c r="E55" s="27"/>
      <c r="F55" s="22"/>
      <c r="G55" s="31"/>
      <c r="I55" s="203">
        <v>0</v>
      </c>
      <c r="J55" s="203"/>
      <c r="K55" s="203">
        <f t="shared" si="4"/>
        <v>0</v>
      </c>
      <c r="L55" s="24" t="s">
        <v>15</v>
      </c>
      <c r="M55" s="2"/>
      <c r="N55" s="3"/>
      <c r="O55" s="2"/>
      <c r="P55" s="4">
        <v>0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customHeight="1">
      <c r="A56" s="65" t="s">
        <v>71</v>
      </c>
      <c r="B56" s="66"/>
      <c r="C56" s="67"/>
      <c r="D56" s="68"/>
      <c r="E56" s="68"/>
      <c r="F56" s="69"/>
      <c r="G56" s="70"/>
      <c r="H56" s="71"/>
      <c r="I56" s="211">
        <v>0</v>
      </c>
      <c r="J56" s="211"/>
      <c r="K56" s="203">
        <f t="shared" si="4"/>
        <v>0</v>
      </c>
      <c r="L56" s="24"/>
      <c r="M56" s="2"/>
      <c r="N56" s="3"/>
      <c r="O56" s="2"/>
      <c r="P56" s="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customHeight="1">
      <c r="A57" s="65" t="s">
        <v>72</v>
      </c>
      <c r="B57" s="66"/>
      <c r="C57" s="67"/>
      <c r="D57" s="68">
        <v>300</v>
      </c>
      <c r="E57" s="68"/>
      <c r="F57" s="69"/>
      <c r="G57" s="70"/>
      <c r="H57" s="71"/>
      <c r="I57" s="211">
        <v>300</v>
      </c>
      <c r="J57" s="211"/>
      <c r="K57" s="203">
        <f t="shared" si="4"/>
        <v>300</v>
      </c>
      <c r="L57" s="24" t="s">
        <v>15</v>
      </c>
      <c r="M57" s="2"/>
      <c r="N57" s="3"/>
      <c r="O57" s="2"/>
      <c r="P57" s="4">
        <v>300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3.5" customHeight="1" thickBot="1">
      <c r="A58" s="10" t="s">
        <v>73</v>
      </c>
      <c r="B58" s="2"/>
      <c r="C58" s="72">
        <v>1900</v>
      </c>
      <c r="D58" s="73">
        <v>5000</v>
      </c>
      <c r="E58" s="73">
        <v>5000</v>
      </c>
      <c r="F58" s="22"/>
      <c r="G58" s="74"/>
      <c r="I58" s="212">
        <v>0</v>
      </c>
      <c r="J58" s="212">
        <v>3000</v>
      </c>
      <c r="K58" s="203">
        <f t="shared" si="4"/>
        <v>3000</v>
      </c>
      <c r="L58" s="24" t="s">
        <v>210</v>
      </c>
      <c r="M58" s="2"/>
      <c r="N58" s="3"/>
      <c r="O58" s="2"/>
      <c r="P58" s="4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4.25" customHeight="1" thickTop="1" thickBot="1">
      <c r="A59" s="75" t="s">
        <v>74</v>
      </c>
      <c r="B59" s="76"/>
      <c r="C59" s="45">
        <f t="shared" ref="C59:E59" si="5">SUM(C23:C58)</f>
        <v>323331.92000000004</v>
      </c>
      <c r="D59" s="46">
        <f t="shared" si="5"/>
        <v>279473.45799999998</v>
      </c>
      <c r="E59" s="46">
        <f t="shared" si="5"/>
        <v>15568.35</v>
      </c>
      <c r="F59" s="77"/>
      <c r="G59" s="78">
        <f>SUM(G23:G58)</f>
        <v>18144</v>
      </c>
      <c r="I59" s="213">
        <f>SUM(I23:I58)</f>
        <v>255432.81537766071</v>
      </c>
      <c r="J59" s="213">
        <f>SUM(J23:J58)</f>
        <v>88174.33</v>
      </c>
      <c r="K59" s="213">
        <f>SUM(K23:K58)</f>
        <v>343607.14537766075</v>
      </c>
      <c r="L59" s="79"/>
      <c r="M59" s="22"/>
      <c r="N59" s="3"/>
      <c r="O59" s="2"/>
      <c r="P59" s="4">
        <v>256298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4.25" customHeight="1" thickTop="1" thickBot="1">
      <c r="A60" s="47" t="s">
        <v>75</v>
      </c>
      <c r="B60" s="47"/>
      <c r="C60" s="80"/>
      <c r="D60" s="49"/>
      <c r="E60" s="49"/>
      <c r="L60" s="2"/>
      <c r="M60" s="2"/>
      <c r="N60" s="3"/>
      <c r="O60" s="2"/>
      <c r="P60" s="4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3.5" customHeight="1" thickTop="1">
      <c r="A61" s="81" t="s">
        <v>76</v>
      </c>
      <c r="B61" s="82"/>
      <c r="C61" s="53">
        <f>48686.57+94051.19</f>
        <v>142737.76</v>
      </c>
      <c r="D61" s="54">
        <f>178053+165566.83</f>
        <v>343619.82999999996</v>
      </c>
      <c r="E61" s="54">
        <v>165566.82999999999</v>
      </c>
      <c r="F61" s="22"/>
      <c r="G61" s="54"/>
      <c r="I61" s="204">
        <f>FEECALC!O45</f>
        <v>171890.15</v>
      </c>
      <c r="J61" s="204">
        <f>147856.16+3722.4+62362.17</f>
        <v>213940.72999999998</v>
      </c>
      <c r="K61" s="204">
        <f>I61+J61</f>
        <v>385830.88</v>
      </c>
      <c r="L61" s="2" t="s">
        <v>215</v>
      </c>
      <c r="M61" s="22"/>
      <c r="N61" s="3"/>
      <c r="O61" s="2"/>
      <c r="P61" s="4">
        <v>178680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customHeight="1" thickBot="1">
      <c r="A62" s="83" t="s">
        <v>77</v>
      </c>
      <c r="B62" s="84"/>
      <c r="C62" s="67">
        <v>156554.19</v>
      </c>
      <c r="D62" s="68">
        <v>148837</v>
      </c>
      <c r="E62" s="68"/>
      <c r="F62" s="22"/>
      <c r="G62" s="85"/>
      <c r="I62" s="211">
        <f>FEECALC!O52</f>
        <v>145326.25</v>
      </c>
      <c r="J62" s="211"/>
      <c r="K62" s="211">
        <f>I62+J62</f>
        <v>145326.25</v>
      </c>
      <c r="L62" s="2" t="s">
        <v>19</v>
      </c>
      <c r="M62" s="86"/>
      <c r="N62" s="3"/>
      <c r="O62" s="2"/>
      <c r="P62" s="4">
        <v>146680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customHeight="1" thickBot="1">
      <c r="A63" s="17" t="s">
        <v>20</v>
      </c>
      <c r="B63" s="25"/>
      <c r="C63" s="19">
        <v>16256.42</v>
      </c>
      <c r="D63" s="27">
        <v>0</v>
      </c>
      <c r="E63" s="27"/>
      <c r="F63" s="22"/>
      <c r="G63" s="27"/>
      <c r="I63" s="203">
        <f>I10</f>
        <v>0</v>
      </c>
      <c r="J63" s="203"/>
      <c r="K63" s="211">
        <f t="shared" ref="K63:K73" si="6">I63+J63</f>
        <v>0</v>
      </c>
      <c r="L63" s="2"/>
      <c r="M63" s="2"/>
      <c r="N63" s="3"/>
      <c r="O63" s="2"/>
      <c r="P63" s="4">
        <v>0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 customHeight="1" thickTop="1" thickBot="1">
      <c r="A64" s="37" t="s">
        <v>78</v>
      </c>
      <c r="B64" s="38"/>
      <c r="C64" s="39">
        <f>1000+200+1000+452.06+750+1000+998.06+1000+852.04+1000+282.89+1000+205.19+794.2+741.43+216.22+1000+360+1000+250+1000</f>
        <v>15102.09</v>
      </c>
      <c r="D64" s="204">
        <f>46390+100792.84</f>
        <v>147182.84</v>
      </c>
      <c r="E64" s="40">
        <v>100792.84</v>
      </c>
      <c r="F64" s="41"/>
      <c r="G64" s="40"/>
      <c r="H64" s="87">
        <v>0.85</v>
      </c>
      <c r="I64" s="214">
        <v>46390</v>
      </c>
      <c r="J64" s="209">
        <f>13.33+119868.74</f>
        <v>119882.07</v>
      </c>
      <c r="K64" s="211">
        <f t="shared" si="6"/>
        <v>166272.07</v>
      </c>
      <c r="L64" s="2" t="s">
        <v>216</v>
      </c>
      <c r="M64" s="88"/>
      <c r="N64" s="3"/>
      <c r="O64" s="3"/>
      <c r="P64" s="4">
        <v>0.6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customHeight="1" thickTop="1" thickBot="1">
      <c r="A65" s="37" t="s">
        <v>79</v>
      </c>
      <c r="B65" s="38"/>
      <c r="C65" s="39">
        <f>354+1149.8+11297.7</f>
        <v>12801.5</v>
      </c>
      <c r="D65" s="54">
        <f>8187+140429.12</f>
        <v>148616.12</v>
      </c>
      <c r="E65" s="40">
        <v>140429.12</v>
      </c>
      <c r="F65" s="41"/>
      <c r="G65" s="40"/>
      <c r="H65" s="87">
        <v>0.15</v>
      </c>
      <c r="I65" s="214">
        <v>8187</v>
      </c>
      <c r="J65" s="209">
        <f>2942.34+6925.87+23181.15+119868.73</f>
        <v>152918.09</v>
      </c>
      <c r="K65" s="211">
        <f t="shared" si="6"/>
        <v>161105.09</v>
      </c>
      <c r="L65" s="2" t="s">
        <v>216</v>
      </c>
      <c r="M65" s="88"/>
      <c r="N65" s="3"/>
      <c r="O65" s="2"/>
      <c r="P65" s="4">
        <v>0.4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customHeight="1" thickTop="1">
      <c r="A66" s="37" t="s">
        <v>80</v>
      </c>
      <c r="B66" s="38"/>
      <c r="C66" s="39"/>
      <c r="D66" s="54">
        <v>12672</v>
      </c>
      <c r="E66" s="40"/>
      <c r="F66" s="41"/>
      <c r="G66" s="40"/>
      <c r="H66" s="49"/>
      <c r="I66" s="214">
        <f>'STIPENDS '!I30</f>
        <v>12672</v>
      </c>
      <c r="J66" s="209"/>
      <c r="K66" s="211">
        <f t="shared" si="6"/>
        <v>12672</v>
      </c>
      <c r="L66" s="2" t="s">
        <v>30</v>
      </c>
      <c r="M66" s="88"/>
      <c r="N66" s="3"/>
      <c r="O66" s="2"/>
      <c r="P66" s="4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 customHeight="1">
      <c r="A67" s="89" t="s">
        <v>26</v>
      </c>
      <c r="B67" s="18"/>
      <c r="C67" s="19"/>
      <c r="D67" s="27">
        <v>0</v>
      </c>
      <c r="E67" s="27"/>
      <c r="F67" s="22"/>
      <c r="G67" s="27"/>
      <c r="I67" s="203">
        <v>0</v>
      </c>
      <c r="J67" s="203"/>
      <c r="K67" s="211">
        <f t="shared" si="6"/>
        <v>0</v>
      </c>
      <c r="L67" s="2"/>
      <c r="M67" s="2"/>
      <c r="N67" s="3"/>
      <c r="O67" s="2"/>
      <c r="P67" s="4">
        <v>0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 customHeight="1">
      <c r="A68" s="89" t="s">
        <v>81</v>
      </c>
      <c r="B68" s="18"/>
      <c r="C68" s="19">
        <f>6930+3500</f>
        <v>10430</v>
      </c>
      <c r="D68" s="27">
        <f>2000+2089.56</f>
        <v>4089.56</v>
      </c>
      <c r="E68" s="36">
        <v>2089.56</v>
      </c>
      <c r="F68" s="22"/>
      <c r="G68" s="36"/>
      <c r="I68" s="203">
        <v>1000</v>
      </c>
      <c r="J68" s="203">
        <f>19.56+240.3+400+2070</f>
        <v>2729.86</v>
      </c>
      <c r="K68" s="211">
        <f t="shared" si="6"/>
        <v>3729.86</v>
      </c>
      <c r="L68" s="2" t="s">
        <v>218</v>
      </c>
      <c r="M68" s="22"/>
      <c r="N68" s="3"/>
      <c r="O68" s="2"/>
      <c r="P68" s="4">
        <v>2000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 customHeight="1">
      <c r="A69" s="232" t="s">
        <v>59</v>
      </c>
      <c r="B69" s="18"/>
      <c r="C69" s="19">
        <f>20774.26+24521.98</f>
        <v>45296.24</v>
      </c>
      <c r="D69" s="27">
        <v>9338</v>
      </c>
      <c r="E69" s="36"/>
      <c r="F69" s="33"/>
      <c r="G69" s="36"/>
      <c r="I69" s="203">
        <v>5000</v>
      </c>
      <c r="J69" s="203">
        <v>9338</v>
      </c>
      <c r="K69" s="211">
        <f t="shared" si="6"/>
        <v>14338</v>
      </c>
      <c r="L69" s="2" t="s">
        <v>219</v>
      </c>
      <c r="M69" s="2"/>
      <c r="N69" s="3"/>
      <c r="O69" s="22"/>
      <c r="P69" s="4">
        <v>13666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 customHeight="1">
      <c r="A70" s="89" t="s">
        <v>82</v>
      </c>
      <c r="B70" s="25"/>
      <c r="C70" s="19">
        <f>234+6423.14+14000+3000+494.29+1250</f>
        <v>25401.43</v>
      </c>
      <c r="D70" s="27">
        <f>31000-11456.69</f>
        <v>19543.309999999998</v>
      </c>
      <c r="E70" s="36">
        <v>-11456.69</v>
      </c>
      <c r="F70" s="33"/>
      <c r="G70" s="36"/>
      <c r="I70" s="203">
        <f>10000-495</f>
        <v>9505</v>
      </c>
      <c r="J70" s="203">
        <f>105.71+5000+5469.01+5268.6</f>
        <v>15843.320000000002</v>
      </c>
      <c r="K70" s="211">
        <f t="shared" si="6"/>
        <v>25348.32</v>
      </c>
      <c r="L70" s="2" t="s">
        <v>218</v>
      </c>
      <c r="M70" s="2"/>
      <c r="N70" s="3"/>
      <c r="O70" s="2"/>
      <c r="P70" s="4">
        <v>36000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 customHeight="1">
      <c r="A71" s="90" t="s">
        <v>83</v>
      </c>
      <c r="B71" s="18"/>
      <c r="C71" s="19">
        <v>584.02</v>
      </c>
      <c r="D71" s="27">
        <f>5000+9709.13</f>
        <v>14709.13</v>
      </c>
      <c r="E71" s="36">
        <v>9709.1299999999992</v>
      </c>
      <c r="F71" s="33"/>
      <c r="G71" s="36"/>
      <c r="I71" s="203">
        <v>1000</v>
      </c>
      <c r="J71" s="203">
        <f>6414+5793.15+5000+3915.98</f>
        <v>21123.13</v>
      </c>
      <c r="K71" s="211">
        <f t="shared" si="6"/>
        <v>22123.13</v>
      </c>
      <c r="L71" s="2" t="s">
        <v>218</v>
      </c>
      <c r="M71" s="22"/>
      <c r="N71" s="3"/>
      <c r="O71" s="2"/>
      <c r="P71" s="4">
        <v>10000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 customHeight="1">
      <c r="A72" s="90" t="s">
        <v>84</v>
      </c>
      <c r="B72" s="18"/>
      <c r="C72" s="19"/>
      <c r="D72" s="27">
        <v>14328</v>
      </c>
      <c r="E72" s="27"/>
      <c r="F72" s="33"/>
      <c r="G72" s="36"/>
      <c r="H72" s="49"/>
      <c r="I72" s="203">
        <f>'STIPENDS '!I29</f>
        <v>14328</v>
      </c>
      <c r="J72" s="203"/>
      <c r="K72" s="211">
        <f t="shared" si="6"/>
        <v>14328</v>
      </c>
      <c r="L72" s="2" t="s">
        <v>27</v>
      </c>
      <c r="M72" s="22"/>
      <c r="N72" s="3"/>
      <c r="O72" s="2"/>
      <c r="P72" s="4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.5" customHeight="1" thickBot="1">
      <c r="A73" s="30" t="s">
        <v>63</v>
      </c>
      <c r="B73" s="18"/>
      <c r="C73" s="19"/>
      <c r="D73" s="27">
        <v>0</v>
      </c>
      <c r="E73" s="35"/>
      <c r="F73" s="33"/>
      <c r="G73" s="27"/>
      <c r="I73" s="203">
        <v>0</v>
      </c>
      <c r="J73" s="203"/>
      <c r="K73" s="211">
        <f t="shared" si="6"/>
        <v>0</v>
      </c>
      <c r="L73" s="2"/>
      <c r="M73" s="2"/>
      <c r="N73" s="3"/>
      <c r="O73" s="2"/>
      <c r="P73" s="4">
        <v>0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4.25" customHeight="1" thickTop="1" thickBot="1">
      <c r="A74" s="91" t="s">
        <v>85</v>
      </c>
      <c r="B74" s="92"/>
      <c r="C74" s="93">
        <f>SUM(C61:C73)</f>
        <v>425163.65</v>
      </c>
      <c r="D74" s="94">
        <f>SUM(D61:D73)</f>
        <v>862935.78999999992</v>
      </c>
      <c r="E74" s="94">
        <f>SUM(E61:E73)</f>
        <v>407130.79</v>
      </c>
      <c r="F74" s="22"/>
      <c r="G74" s="94">
        <f>SUM(G61:G73)</f>
        <v>0</v>
      </c>
      <c r="I74" s="215">
        <f>SUM(I61:I73)</f>
        <v>415298.4</v>
      </c>
      <c r="J74" s="215">
        <f>SUM(J61:J73)</f>
        <v>535775.19999999995</v>
      </c>
      <c r="K74" s="215">
        <f>SUM(K61:K73)</f>
        <v>951073.59999999986</v>
      </c>
      <c r="L74" s="2"/>
      <c r="M74" s="2"/>
      <c r="N74" s="3"/>
      <c r="O74" s="2"/>
      <c r="P74" s="4">
        <v>387026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3.5" customHeight="1" thickBot="1">
      <c r="A75" s="95" t="s">
        <v>86</v>
      </c>
      <c r="B75" s="96"/>
      <c r="C75" s="97">
        <f>+C59+C74</f>
        <v>748495.57000000007</v>
      </c>
      <c r="D75" s="98">
        <f>+D59+D74</f>
        <v>1142409.2479999999</v>
      </c>
      <c r="E75" s="98">
        <f>+E59+E74</f>
        <v>422699.13999999996</v>
      </c>
      <c r="F75" s="77"/>
      <c r="G75" s="99">
        <f>G59+G74</f>
        <v>18144</v>
      </c>
      <c r="H75" s="100"/>
      <c r="I75" s="216">
        <f>+I59+I74</f>
        <v>670731.2153776607</v>
      </c>
      <c r="J75" s="216">
        <f>J59+J74</f>
        <v>623949.52999999991</v>
      </c>
      <c r="K75" s="216">
        <f>K59+K74</f>
        <v>1294680.7453776607</v>
      </c>
      <c r="L75" s="22"/>
      <c r="M75" s="86"/>
      <c r="N75" s="3"/>
      <c r="O75" s="2"/>
      <c r="P75" s="4">
        <v>643324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4.25" customHeight="1" thickTop="1" thickBot="1">
      <c r="A76" s="43" t="s">
        <v>87</v>
      </c>
      <c r="B76" s="44"/>
      <c r="C76" s="45">
        <f>+C21-C75</f>
        <v>468859.49</v>
      </c>
      <c r="D76" s="46">
        <f>+D21-D75</f>
        <v>0.26199999987147748</v>
      </c>
      <c r="E76" s="46">
        <f>+E21-E75</f>
        <v>0.37000000005355105</v>
      </c>
      <c r="F76" s="22"/>
      <c r="G76" s="101">
        <f>G21-G75</f>
        <v>0</v>
      </c>
      <c r="I76" s="217">
        <f>+I21-I75</f>
        <v>-0.21537766070105135</v>
      </c>
      <c r="J76" s="217">
        <f>J21-J75</f>
        <v>0</v>
      </c>
      <c r="K76" s="217">
        <f>K21-K75</f>
        <v>-0.21537766046822071</v>
      </c>
      <c r="L76" s="2"/>
      <c r="M76" s="2"/>
      <c r="N76" s="3"/>
      <c r="O76" s="2"/>
      <c r="P76" s="4">
        <v>0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3.5" customHeight="1" thickTop="1">
      <c r="A77" s="2"/>
      <c r="B77" s="2"/>
      <c r="C77" s="88"/>
      <c r="D77" s="22"/>
      <c r="E77" s="22"/>
      <c r="F77" s="22"/>
      <c r="G77" s="22"/>
      <c r="I77" s="22"/>
      <c r="J77" s="22"/>
      <c r="K77" s="22"/>
      <c r="L77" s="2"/>
      <c r="M77" s="2"/>
      <c r="N77" s="3"/>
      <c r="O77" s="2"/>
      <c r="P77" s="4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 customHeight="1">
      <c r="A78" s="47" t="s">
        <v>88</v>
      </c>
      <c r="B78" s="47"/>
      <c r="C78" s="102"/>
      <c r="D78" s="22"/>
      <c r="E78" s="22"/>
      <c r="F78" s="22"/>
      <c r="G78" s="22"/>
      <c r="I78" s="2"/>
      <c r="J78" s="2"/>
      <c r="K78" s="2"/>
      <c r="L78" s="2"/>
      <c r="M78" s="2"/>
      <c r="N78" s="3"/>
      <c r="O78" s="2"/>
      <c r="P78" s="4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 customHeight="1">
      <c r="A79" s="47" t="s">
        <v>89</v>
      </c>
      <c r="B79" s="47"/>
      <c r="C79" s="102"/>
      <c r="D79" s="22"/>
      <c r="E79" s="22"/>
      <c r="F79" s="22"/>
      <c r="G79" s="22"/>
      <c r="I79" s="2"/>
      <c r="J79" s="2"/>
      <c r="K79" s="2"/>
      <c r="L79" s="2"/>
      <c r="M79" s="2"/>
      <c r="N79" s="3"/>
      <c r="O79" s="2"/>
      <c r="P79" s="4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 customHeight="1">
      <c r="A80" s="47" t="s">
        <v>90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2"/>
      <c r="P80" s="4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9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2"/>
      <c r="P81" s="4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9" ht="12.75" customHeight="1">
      <c r="A82" s="2" t="s">
        <v>91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2"/>
      <c r="P82" s="4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9" s="202" customFormat="1" ht="12.75" customHeight="1">
      <c r="A83" s="2"/>
      <c r="B83" s="2"/>
      <c r="C83" s="2"/>
      <c r="D83" s="2"/>
      <c r="E83" s="2"/>
      <c r="F83" s="2"/>
      <c r="G83" s="2"/>
      <c r="H83" s="2"/>
      <c r="I83" s="2"/>
      <c r="J83" s="221" t="s">
        <v>207</v>
      </c>
      <c r="K83" s="222" t="s">
        <v>209</v>
      </c>
      <c r="L83" s="222" t="s">
        <v>208</v>
      </c>
      <c r="M83" s="223"/>
      <c r="N83" s="2"/>
      <c r="O83" s="3"/>
      <c r="P83" s="2"/>
      <c r="Q83" s="4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75" customHeight="1">
      <c r="A84" s="2"/>
      <c r="B84" s="2"/>
      <c r="C84" s="2"/>
      <c r="D84" s="2"/>
      <c r="E84" s="2"/>
      <c r="F84" s="2"/>
      <c r="G84" s="1" t="s">
        <v>7</v>
      </c>
      <c r="H84" s="2"/>
      <c r="I84" s="2" t="s">
        <v>92</v>
      </c>
      <c r="J84" s="221" t="s">
        <v>206</v>
      </c>
      <c r="K84" s="222" t="s">
        <v>208</v>
      </c>
      <c r="L84" s="222" t="s">
        <v>220</v>
      </c>
      <c r="M84" s="224" t="s">
        <v>196</v>
      </c>
      <c r="N84" s="2"/>
      <c r="O84" s="3"/>
      <c r="P84" s="2"/>
      <c r="Q84" s="4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 customHeight="1">
      <c r="A85" s="17" t="s">
        <v>93</v>
      </c>
      <c r="B85" s="18"/>
      <c r="C85" s="19"/>
      <c r="D85" s="27"/>
      <c r="E85" s="27"/>
      <c r="F85" s="22"/>
      <c r="G85" s="103">
        <v>9486.35</v>
      </c>
      <c r="I85" s="218">
        <f t="shared" ref="I85:I97" si="7">G85*0.75</f>
        <v>7114.7625000000007</v>
      </c>
      <c r="J85" s="225">
        <v>719.99</v>
      </c>
      <c r="K85" s="225">
        <v>6144.19</v>
      </c>
      <c r="L85" s="225">
        <v>2842.47</v>
      </c>
      <c r="M85" s="226">
        <f>I85+J85+K85+L85</f>
        <v>16821.412500000002</v>
      </c>
      <c r="N85" s="2"/>
      <c r="O85" s="3"/>
      <c r="P85" s="2"/>
      <c r="Q85" s="4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 customHeight="1">
      <c r="A86" s="17" t="s">
        <v>94</v>
      </c>
      <c r="B86" s="18"/>
      <c r="C86" s="19"/>
      <c r="D86" s="27"/>
      <c r="E86" s="27"/>
      <c r="F86" s="22"/>
      <c r="G86" s="103">
        <v>11521.62</v>
      </c>
      <c r="I86" s="218">
        <f t="shared" si="7"/>
        <v>8641.2150000000001</v>
      </c>
      <c r="J86" s="225">
        <v>2887.14</v>
      </c>
      <c r="K86" s="225">
        <v>10965.65</v>
      </c>
      <c r="L86" s="225">
        <v>4182.5200000000004</v>
      </c>
      <c r="M86" s="226">
        <f t="shared" ref="M86:M98" si="8">I86+J86+K86+L86</f>
        <v>26676.524999999998</v>
      </c>
      <c r="N86" s="2"/>
      <c r="O86" s="3"/>
      <c r="P86" s="2"/>
      <c r="Q86" s="4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 customHeight="1">
      <c r="A87" s="17" t="s">
        <v>95</v>
      </c>
      <c r="B87" s="18"/>
      <c r="C87" s="19"/>
      <c r="D87" s="27"/>
      <c r="E87" s="27"/>
      <c r="F87" s="22"/>
      <c r="G87" s="103">
        <v>5171.43</v>
      </c>
      <c r="I87" s="218">
        <f t="shared" si="7"/>
        <v>3878.5725000000002</v>
      </c>
      <c r="J87" s="225">
        <v>1655.88</v>
      </c>
      <c r="K87" s="225">
        <v>5172.43</v>
      </c>
      <c r="L87" s="225">
        <v>2007.55</v>
      </c>
      <c r="M87" s="226">
        <f t="shared" si="8"/>
        <v>12714.432499999999</v>
      </c>
      <c r="N87" s="2"/>
      <c r="O87" s="3"/>
      <c r="P87" s="2"/>
      <c r="Q87" s="4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 customHeight="1">
      <c r="A88" s="17" t="s">
        <v>96</v>
      </c>
      <c r="B88" s="18"/>
      <c r="C88" s="19"/>
      <c r="D88" s="27"/>
      <c r="E88" s="27"/>
      <c r="F88" s="22"/>
      <c r="G88" s="103">
        <v>7905.3</v>
      </c>
      <c r="I88" s="218">
        <f t="shared" si="7"/>
        <v>5928.9750000000004</v>
      </c>
      <c r="J88" s="225">
        <v>1384.65</v>
      </c>
      <c r="K88" s="225">
        <v>3429.61</v>
      </c>
      <c r="L88" s="225">
        <v>2653.4</v>
      </c>
      <c r="M88" s="226">
        <f t="shared" si="8"/>
        <v>13396.635</v>
      </c>
      <c r="N88" s="2"/>
      <c r="O88" s="3"/>
      <c r="P88" s="2"/>
      <c r="Q88" s="4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75" customHeight="1">
      <c r="A89" s="17" t="s">
        <v>97</v>
      </c>
      <c r="B89" s="18"/>
      <c r="C89" s="19"/>
      <c r="D89" s="27"/>
      <c r="E89" s="27"/>
      <c r="F89" s="22"/>
      <c r="G89" s="103">
        <v>26644.42</v>
      </c>
      <c r="I89" s="218">
        <f t="shared" si="7"/>
        <v>19983.314999999999</v>
      </c>
      <c r="J89" s="225">
        <v>5947.54</v>
      </c>
      <c r="K89" s="225">
        <v>16166.51</v>
      </c>
      <c r="L89" s="225">
        <v>9407.7800000000007</v>
      </c>
      <c r="M89" s="226">
        <f t="shared" si="8"/>
        <v>51505.144999999997</v>
      </c>
      <c r="N89" s="2"/>
      <c r="O89" s="3"/>
      <c r="P89" s="2"/>
      <c r="Q89" s="4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 customHeight="1">
      <c r="A90" s="17" t="s">
        <v>98</v>
      </c>
      <c r="B90" s="18"/>
      <c r="C90" s="19"/>
      <c r="D90" s="27"/>
      <c r="E90" s="27"/>
      <c r="F90" s="22"/>
      <c r="G90" s="103">
        <v>6272.33</v>
      </c>
      <c r="I90" s="218">
        <f t="shared" si="7"/>
        <v>4704.2474999999995</v>
      </c>
      <c r="J90" s="225">
        <v>952.52</v>
      </c>
      <c r="K90" s="225">
        <v>6002.35</v>
      </c>
      <c r="L90" s="225">
        <v>2052.29</v>
      </c>
      <c r="M90" s="226">
        <f t="shared" si="8"/>
        <v>13711.407500000001</v>
      </c>
      <c r="N90" s="2"/>
      <c r="O90" s="3"/>
      <c r="P90" s="2"/>
      <c r="Q90" s="4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 customHeight="1">
      <c r="A91" s="17" t="s">
        <v>99</v>
      </c>
      <c r="B91" s="18"/>
      <c r="C91" s="19"/>
      <c r="D91" s="27"/>
      <c r="E91" s="27"/>
      <c r="F91" s="22"/>
      <c r="G91" s="103">
        <v>15290.42</v>
      </c>
      <c r="I91" s="218">
        <f t="shared" si="7"/>
        <v>11467.815000000001</v>
      </c>
      <c r="J91" s="225">
        <v>3503.54</v>
      </c>
      <c r="K91" s="225">
        <v>14198.04</v>
      </c>
      <c r="L91" s="225">
        <v>5431.65</v>
      </c>
      <c r="M91" s="226">
        <f t="shared" si="8"/>
        <v>34601.044999999998</v>
      </c>
      <c r="N91" s="2"/>
      <c r="O91" s="3"/>
      <c r="P91" s="2"/>
      <c r="Q91" s="4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 customHeight="1">
      <c r="A92" s="17" t="s">
        <v>100</v>
      </c>
      <c r="B92" s="18"/>
      <c r="C92" s="19"/>
      <c r="D92" s="27"/>
      <c r="E92" s="27"/>
      <c r="F92" s="22"/>
      <c r="G92" s="103">
        <v>26761.21</v>
      </c>
      <c r="I92" s="218">
        <f t="shared" si="7"/>
        <v>20070.907500000001</v>
      </c>
      <c r="J92" s="225">
        <v>5788.34</v>
      </c>
      <c r="K92" s="225">
        <v>26761.21</v>
      </c>
      <c r="L92" s="225">
        <v>9381.7999999999993</v>
      </c>
      <c r="M92" s="226">
        <f t="shared" si="8"/>
        <v>62002.257500000007</v>
      </c>
      <c r="N92" s="2"/>
      <c r="O92" s="3"/>
      <c r="P92" s="2"/>
      <c r="Q92" s="4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 customHeight="1">
      <c r="A93" s="17" t="s">
        <v>101</v>
      </c>
      <c r="B93" s="18"/>
      <c r="C93" s="19"/>
      <c r="D93" s="27"/>
      <c r="E93" s="27"/>
      <c r="F93" s="22"/>
      <c r="G93" s="103">
        <v>10710.54</v>
      </c>
      <c r="I93" s="218">
        <f t="shared" si="7"/>
        <v>8032.9050000000007</v>
      </c>
      <c r="J93" s="225">
        <v>2278.17</v>
      </c>
      <c r="K93" s="225">
        <v>10254.24</v>
      </c>
      <c r="L93" s="225">
        <v>3740.89</v>
      </c>
      <c r="M93" s="226">
        <f t="shared" si="8"/>
        <v>24306.205000000002</v>
      </c>
      <c r="N93" s="2"/>
      <c r="O93" s="3"/>
      <c r="P93" s="2"/>
      <c r="Q93" s="4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75" customHeight="1">
      <c r="A94" s="17" t="s">
        <v>102</v>
      </c>
      <c r="B94" s="18"/>
      <c r="C94" s="19"/>
      <c r="D94" s="27"/>
      <c r="E94" s="27"/>
      <c r="F94" s="22"/>
      <c r="G94" s="103">
        <v>26512.48</v>
      </c>
      <c r="I94" s="218">
        <f t="shared" si="7"/>
        <v>19884.36</v>
      </c>
      <c r="J94" s="225">
        <v>4511.97</v>
      </c>
      <c r="K94" s="225">
        <v>26512.48</v>
      </c>
      <c r="L94" s="225">
        <v>8851.0499999999993</v>
      </c>
      <c r="M94" s="226">
        <f t="shared" si="8"/>
        <v>59759.86</v>
      </c>
      <c r="N94" s="2"/>
      <c r="O94" s="3"/>
      <c r="P94" s="2"/>
      <c r="Q94" s="4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 customHeight="1">
      <c r="A95" s="17" t="s">
        <v>103</v>
      </c>
      <c r="B95" s="18"/>
      <c r="C95" s="19"/>
      <c r="D95" s="27"/>
      <c r="E95" s="27"/>
      <c r="F95" s="22"/>
      <c r="G95" s="103">
        <v>5342.29</v>
      </c>
      <c r="I95" s="218">
        <f t="shared" si="7"/>
        <v>4006.7174999999997</v>
      </c>
      <c r="J95" s="225">
        <v>762.95</v>
      </c>
      <c r="K95" s="225">
        <v>3342.29</v>
      </c>
      <c r="L95" s="225">
        <v>1730.45</v>
      </c>
      <c r="M95" s="226">
        <f t="shared" si="8"/>
        <v>9842.4074999999993</v>
      </c>
      <c r="N95" s="2"/>
      <c r="O95" s="3"/>
      <c r="P95" s="2"/>
      <c r="Q95" s="4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 customHeight="1">
      <c r="A96" s="17" t="s">
        <v>104</v>
      </c>
      <c r="B96" s="18"/>
      <c r="C96" s="19"/>
      <c r="D96" s="27"/>
      <c r="E96" s="27"/>
      <c r="F96" s="22"/>
      <c r="G96" s="103">
        <v>7665.22</v>
      </c>
      <c r="I96" s="218">
        <f t="shared" si="7"/>
        <v>5748.915</v>
      </c>
      <c r="J96" s="225">
        <v>2189.2600000000002</v>
      </c>
      <c r="K96" s="225">
        <v>1586.03</v>
      </c>
      <c r="L96" s="225">
        <v>2879.99</v>
      </c>
      <c r="M96" s="226">
        <f t="shared" si="8"/>
        <v>12404.195</v>
      </c>
      <c r="N96" s="2"/>
      <c r="O96" s="3"/>
      <c r="P96" s="2"/>
      <c r="Q96" s="4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 customHeight="1">
      <c r="A97" s="17" t="s">
        <v>105</v>
      </c>
      <c r="B97" s="18"/>
      <c r="C97" s="19"/>
      <c r="D97" s="27"/>
      <c r="E97" s="27"/>
      <c r="F97" s="22"/>
      <c r="G97" s="103">
        <v>18769.400000000001</v>
      </c>
      <c r="I97" s="218">
        <f t="shared" si="7"/>
        <v>14077.050000000001</v>
      </c>
      <c r="J97" s="225">
        <v>5768.4</v>
      </c>
      <c r="K97" s="225">
        <v>17321.13</v>
      </c>
      <c r="L97" s="225">
        <v>7200.33</v>
      </c>
      <c r="M97" s="226">
        <f t="shared" si="8"/>
        <v>44366.91</v>
      </c>
      <c r="N97" s="2"/>
      <c r="O97" s="3"/>
      <c r="P97" s="2"/>
      <c r="Q97" s="4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5" customHeight="1" thickBot="1">
      <c r="A98" s="37" t="s">
        <v>106</v>
      </c>
      <c r="B98" s="104"/>
      <c r="C98" s="2"/>
      <c r="D98" s="2"/>
      <c r="E98" s="2"/>
      <c r="F98" s="2"/>
      <c r="G98" s="105">
        <f>SUM(G85:G97)</f>
        <v>178053.01</v>
      </c>
      <c r="H98" s="2"/>
      <c r="I98" s="219">
        <f>SUM(I85:I97)</f>
        <v>133539.75749999998</v>
      </c>
      <c r="J98" s="227">
        <f>SUM(J85:J97)</f>
        <v>38350.350000000006</v>
      </c>
      <c r="K98" s="227">
        <f>SUM(K85:K97)</f>
        <v>147856.15999999997</v>
      </c>
      <c r="L98" s="227">
        <f>SUM(L85:L97)</f>
        <v>62362.170000000006</v>
      </c>
      <c r="M98" s="240">
        <f>I98+J98+K98+L98</f>
        <v>382108.43749999994</v>
      </c>
      <c r="N98" s="2"/>
      <c r="O98" s="3"/>
      <c r="P98" s="2"/>
      <c r="Q98" s="4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5" customHeight="1" thickTop="1" thickBot="1">
      <c r="A99" s="2"/>
      <c r="B99" s="2"/>
      <c r="C99" s="2"/>
      <c r="D99" s="2"/>
      <c r="E99" s="2"/>
      <c r="F99" s="2"/>
      <c r="G99" s="2"/>
      <c r="H99" s="2"/>
      <c r="I99" s="2"/>
      <c r="J99" s="228">
        <f>SUM(I98:J98)</f>
        <v>171890.10749999998</v>
      </c>
      <c r="K99" s="228"/>
      <c r="L99" s="228"/>
      <c r="M99" s="223"/>
      <c r="N99" s="2"/>
      <c r="O99" s="3"/>
      <c r="P99" s="2"/>
      <c r="Q99" s="4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 customHeight="1" thickTop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2"/>
      <c r="P100" s="4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9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2"/>
      <c r="P101" s="4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9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2"/>
      <c r="P102" s="4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9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2"/>
      <c r="P103" s="4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9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2"/>
      <c r="P104" s="4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9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2"/>
      <c r="P105" s="4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9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2"/>
      <c r="P106" s="4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9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2"/>
      <c r="P107" s="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9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2"/>
      <c r="P108" s="4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2"/>
      <c r="P109" s="4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9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2"/>
      <c r="P110" s="4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9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2"/>
      <c r="P111" s="4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9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2"/>
      <c r="P112" s="4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2"/>
      <c r="P113" s="4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2"/>
      <c r="P114" s="4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2"/>
      <c r="P115" s="4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2"/>
      <c r="P116" s="4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2"/>
      <c r="P117" s="4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2"/>
      <c r="P118" s="4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2"/>
      <c r="P119" s="4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2"/>
      <c r="P120" s="4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2"/>
      <c r="P121" s="4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2"/>
      <c r="P122" s="4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2"/>
      <c r="P123" s="4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2"/>
      <c r="P124" s="4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2"/>
      <c r="P125" s="4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2"/>
      <c r="P126" s="4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2"/>
      <c r="P127" s="4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2"/>
      <c r="P128" s="4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2"/>
      <c r="P129" s="4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2"/>
      <c r="P130" s="4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2"/>
      <c r="P131" s="4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2"/>
      <c r="P132" s="4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2"/>
      <c r="P133" s="4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2"/>
      <c r="P134" s="4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2"/>
      <c r="P135" s="4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2"/>
      <c r="P136" s="4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2"/>
      <c r="P137" s="4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2"/>
      <c r="P138" s="4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2"/>
      <c r="P139" s="4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2"/>
      <c r="P140" s="4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2"/>
      <c r="P141" s="4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2"/>
      <c r="P142" s="4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2"/>
      <c r="P143" s="4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2"/>
      <c r="P144" s="4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2"/>
      <c r="P145" s="4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2"/>
      <c r="P146" s="4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2"/>
      <c r="P147" s="4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2"/>
      <c r="P148" s="4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2"/>
      <c r="P149" s="4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2"/>
      <c r="P150" s="4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2"/>
      <c r="P151" s="4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2"/>
      <c r="P152" s="4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2"/>
      <c r="P153" s="4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2"/>
      <c r="P154" s="4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2"/>
      <c r="P155" s="4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2"/>
      <c r="P156" s="4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2"/>
      <c r="P157" s="4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2"/>
      <c r="P158" s="4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2"/>
      <c r="P159" s="4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2"/>
      <c r="P160" s="4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2"/>
      <c r="P161" s="4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2"/>
      <c r="P162" s="4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2"/>
      <c r="P163" s="4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2"/>
      <c r="P164" s="4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2"/>
      <c r="P165" s="4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2"/>
      <c r="P166" s="4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2"/>
      <c r="P167" s="4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2"/>
      <c r="P168" s="4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2"/>
      <c r="P169" s="4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2"/>
      <c r="P170" s="4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2"/>
      <c r="P171" s="4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2"/>
      <c r="P172" s="4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2"/>
      <c r="P173" s="4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2"/>
      <c r="P174" s="4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2"/>
      <c r="P175" s="4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2"/>
      <c r="P176" s="4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2"/>
      <c r="P177" s="4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2"/>
      <c r="P178" s="4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2"/>
      <c r="P179" s="4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2"/>
      <c r="P180" s="4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2"/>
      <c r="P181" s="4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2"/>
      <c r="P182" s="4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2"/>
      <c r="P183" s="4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2"/>
      <c r="P184" s="4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2"/>
      <c r="P185" s="4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2"/>
      <c r="P186" s="4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2"/>
      <c r="P187" s="4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2"/>
      <c r="P188" s="4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2"/>
      <c r="P189" s="4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2"/>
      <c r="P190" s="4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2"/>
      <c r="P191" s="4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2"/>
      <c r="P192" s="4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2"/>
      <c r="P193" s="4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2"/>
      <c r="P194" s="4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2"/>
      <c r="P195" s="4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2"/>
      <c r="P196" s="4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2"/>
      <c r="P197" s="4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2"/>
      <c r="P198" s="4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2"/>
      <c r="P199" s="4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2"/>
      <c r="P200" s="4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2"/>
      <c r="P201" s="4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2"/>
      <c r="P202" s="4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2"/>
      <c r="P203" s="4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2"/>
      <c r="P204" s="4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2"/>
      <c r="P205" s="4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2"/>
      <c r="P206" s="4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2"/>
      <c r="P207" s="4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2"/>
      <c r="P208" s="4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2"/>
      <c r="P209" s="4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2"/>
      <c r="P210" s="4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2"/>
      <c r="P211" s="4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2"/>
      <c r="P212" s="4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2"/>
      <c r="P213" s="4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2"/>
      <c r="P214" s="4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2"/>
      <c r="P215" s="4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2"/>
      <c r="P216" s="4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2"/>
      <c r="P217" s="4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2"/>
      <c r="P218" s="4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2"/>
      <c r="P219" s="4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2"/>
      <c r="P220" s="4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2"/>
      <c r="P221" s="4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2"/>
      <c r="P222" s="4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2"/>
      <c r="P223" s="4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2"/>
      <c r="P224" s="4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2"/>
      <c r="P225" s="4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2"/>
      <c r="P226" s="4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2"/>
      <c r="P227" s="4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2"/>
      <c r="P228" s="4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2"/>
      <c r="P229" s="4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2"/>
      <c r="P230" s="4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2"/>
      <c r="P231" s="4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2"/>
      <c r="P232" s="4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2"/>
      <c r="P233" s="4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2"/>
      <c r="P234" s="4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2"/>
      <c r="P235" s="4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2"/>
      <c r="P236" s="4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2"/>
      <c r="P237" s="4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2"/>
      <c r="P238" s="4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2"/>
      <c r="P239" s="4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2"/>
      <c r="P240" s="4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2"/>
      <c r="P241" s="4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2"/>
      <c r="P242" s="4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2"/>
      <c r="P243" s="4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2"/>
      <c r="P244" s="4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2"/>
      <c r="P245" s="4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2"/>
      <c r="P246" s="4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2"/>
      <c r="P247" s="4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2"/>
      <c r="P248" s="4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2"/>
      <c r="P249" s="4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2"/>
      <c r="P250" s="4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2"/>
      <c r="P251" s="4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2"/>
      <c r="P252" s="4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2"/>
      <c r="P253" s="4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2"/>
      <c r="P254" s="4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2"/>
      <c r="P255" s="4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2"/>
      <c r="P256" s="4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2"/>
      <c r="P257" s="4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2"/>
      <c r="P258" s="4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2"/>
      <c r="P259" s="4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2"/>
      <c r="P260" s="4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2"/>
      <c r="P261" s="4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2"/>
      <c r="P262" s="4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2"/>
      <c r="P263" s="4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2"/>
      <c r="P264" s="4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2"/>
      <c r="P265" s="4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2"/>
      <c r="P266" s="4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2"/>
      <c r="P267" s="4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2"/>
      <c r="P268" s="4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2"/>
      <c r="P269" s="4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2"/>
      <c r="P270" s="4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2"/>
      <c r="P271" s="4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2"/>
      <c r="P272" s="4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2"/>
      <c r="P273" s="4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2"/>
      <c r="P274" s="4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2"/>
      <c r="P275" s="4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2"/>
      <c r="P276" s="4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2"/>
      <c r="P277" s="4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2"/>
      <c r="P278" s="4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2"/>
      <c r="P279" s="4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2"/>
      <c r="P280" s="4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2"/>
      <c r="P281" s="4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2"/>
      <c r="P282" s="4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2"/>
      <c r="P283" s="4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2"/>
      <c r="P284" s="4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2"/>
      <c r="P285" s="4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2"/>
      <c r="P286" s="4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2"/>
      <c r="P287" s="4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2"/>
      <c r="P288" s="4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2"/>
      <c r="P289" s="4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2"/>
      <c r="P290" s="4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2"/>
      <c r="P291" s="4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2"/>
      <c r="P292" s="4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2"/>
      <c r="P293" s="4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2"/>
      <c r="P294" s="4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2"/>
      <c r="P295" s="4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2"/>
      <c r="P296" s="4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2"/>
      <c r="P297" s="4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2"/>
      <c r="P298" s="4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/>
    <row r="300" spans="1:28" ht="15.75" customHeight="1"/>
    <row r="301" spans="1:28" ht="15.75" customHeight="1"/>
    <row r="302" spans="1:28" ht="15.75" customHeight="1"/>
    <row r="303" spans="1:28" ht="15.75" customHeight="1"/>
    <row r="304" spans="1:2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">
    <mergeCell ref="A1:G1"/>
    <mergeCell ref="A2:H2"/>
    <mergeCell ref="A3:H3"/>
  </mergeCells>
  <pageMargins left="0.7" right="0.7" top="0.75" bottom="0.75" header="0" footer="0"/>
  <pageSetup scale="53" fitToWidth="0" orientation="portrait" r:id="rId1"/>
  <headerFooter>
    <oddHeader>&amp;RATTACHMENT A</oddHeader>
    <oddFooter>&amp;LASUCLA Student Support Services -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showGridLines="0" workbookViewId="0">
      <selection activeCell="B17" sqref="B17"/>
    </sheetView>
  </sheetViews>
  <sheetFormatPr defaultColWidth="14.42578125" defaultRowHeight="15" customHeight="1"/>
  <cols>
    <col min="1" max="1" width="47.85546875" customWidth="1"/>
    <col min="2" max="2" width="11" customWidth="1"/>
    <col min="3" max="3" width="1.85546875" customWidth="1"/>
    <col min="4" max="4" width="11" customWidth="1"/>
    <col min="5" max="5" width="10.85546875" customWidth="1"/>
    <col min="6" max="6" width="11" customWidth="1"/>
    <col min="7" max="7" width="1.85546875" customWidth="1"/>
    <col min="8" max="8" width="5.28515625" customWidth="1"/>
    <col min="9" max="9" width="1.85546875" customWidth="1"/>
    <col min="10" max="10" width="4.140625" customWidth="1"/>
    <col min="11" max="11" width="9.85546875" customWidth="1"/>
    <col min="12" max="12" width="4.140625" customWidth="1"/>
    <col min="13" max="13" width="12.140625" customWidth="1"/>
    <col min="14" max="14" width="4.140625" customWidth="1"/>
    <col min="15" max="15" width="12.42578125" customWidth="1"/>
    <col min="16" max="19" width="11" customWidth="1"/>
    <col min="20" max="20" width="1.85546875" customWidth="1"/>
    <col min="21" max="21" width="11" customWidth="1"/>
    <col min="22" max="22" width="1.85546875" customWidth="1"/>
    <col min="23" max="23" width="8.7109375" customWidth="1"/>
    <col min="24" max="24" width="1.85546875" customWidth="1"/>
    <col min="25" max="25" width="5.28515625" customWidth="1"/>
    <col min="26" max="26" width="1.85546875" customWidth="1"/>
    <col min="27" max="27" width="4.140625" customWidth="1"/>
    <col min="28" max="28" width="9.85546875" customWidth="1"/>
  </cols>
  <sheetData>
    <row r="1" spans="1:28" ht="12.75" customHeight="1">
      <c r="A1" s="237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8" ht="12.75" customHeight="1">
      <c r="A2" s="237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28" ht="12.75" customHeight="1">
      <c r="A3" s="237" t="s">
        <v>107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</row>
    <row r="4" spans="1:28" ht="12.7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</row>
    <row r="5" spans="1:28" ht="12.75" customHeight="1">
      <c r="A5" s="108" t="s">
        <v>108</v>
      </c>
      <c r="B5" s="106" t="s">
        <v>109</v>
      </c>
      <c r="C5" s="107"/>
      <c r="D5" s="106" t="s">
        <v>110</v>
      </c>
      <c r="E5" s="107"/>
      <c r="F5" s="106" t="s">
        <v>111</v>
      </c>
      <c r="G5" s="107"/>
      <c r="H5" s="107"/>
      <c r="I5" s="107"/>
      <c r="J5" s="107"/>
      <c r="K5" s="106" t="s">
        <v>112</v>
      </c>
      <c r="L5" s="107"/>
      <c r="M5" s="109"/>
      <c r="N5" s="107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</row>
    <row r="6" spans="1:28" ht="12.75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6" t="s">
        <v>113</v>
      </c>
      <c r="L6" s="107"/>
      <c r="M6" s="109"/>
      <c r="N6" s="107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</row>
    <row r="7" spans="1:28" ht="12.75" customHeight="1">
      <c r="A7" s="108" t="s">
        <v>114</v>
      </c>
      <c r="B7" s="22">
        <f>7300+700</f>
        <v>8000</v>
      </c>
      <c r="C7" s="107"/>
      <c r="D7" s="22">
        <v>7950</v>
      </c>
      <c r="E7" s="107"/>
      <c r="F7" s="22">
        <f t="shared" ref="F7:F19" si="0">B7-D7</f>
        <v>50</v>
      </c>
      <c r="G7" s="107"/>
      <c r="H7" s="107"/>
      <c r="I7" s="107"/>
      <c r="J7" s="107"/>
      <c r="K7" s="110">
        <f t="shared" ref="K7:K16" si="1">+F7/D7</f>
        <v>6.2893081761006293E-3</v>
      </c>
      <c r="L7" s="107"/>
      <c r="M7" s="110">
        <f>(+F7+F8)/(D7+D8)</f>
        <v>1.6639118457300275E-2</v>
      </c>
      <c r="N7" s="110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</row>
    <row r="8" spans="1:28" ht="12.75" customHeight="1">
      <c r="A8" s="108" t="s">
        <v>115</v>
      </c>
      <c r="B8" s="22">
        <f>930+296</f>
        <v>1226</v>
      </c>
      <c r="C8" s="107"/>
      <c r="D8" s="22">
        <v>1125</v>
      </c>
      <c r="E8" s="107"/>
      <c r="F8" s="22">
        <f t="shared" si="0"/>
        <v>101</v>
      </c>
      <c r="G8" s="107"/>
      <c r="H8" s="107"/>
      <c r="I8" s="107"/>
      <c r="J8" s="107"/>
      <c r="K8" s="110">
        <f t="shared" si="1"/>
        <v>8.9777777777777776E-2</v>
      </c>
      <c r="L8" s="107"/>
      <c r="M8" s="109"/>
      <c r="N8" s="107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</row>
    <row r="9" spans="1:28" ht="12.75" customHeight="1">
      <c r="A9" s="108" t="s">
        <v>116</v>
      </c>
      <c r="B9" s="22">
        <v>87</v>
      </c>
      <c r="C9" s="107"/>
      <c r="D9" s="22">
        <v>84</v>
      </c>
      <c r="E9" s="107"/>
      <c r="F9" s="22">
        <f t="shared" si="0"/>
        <v>3</v>
      </c>
      <c r="G9" s="107"/>
      <c r="H9" s="107"/>
      <c r="I9" s="107"/>
      <c r="J9" s="107"/>
      <c r="K9" s="110">
        <f t="shared" si="1"/>
        <v>3.5714285714285712E-2</v>
      </c>
      <c r="L9" s="107"/>
      <c r="M9" s="109"/>
      <c r="N9" s="107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</row>
    <row r="10" spans="1:28" ht="12.75" customHeight="1">
      <c r="A10" s="108" t="s">
        <v>117</v>
      </c>
      <c r="B10" s="22">
        <v>2230</v>
      </c>
      <c r="C10" s="107"/>
      <c r="D10" s="22">
        <v>2200</v>
      </c>
      <c r="E10" s="107"/>
      <c r="F10" s="22">
        <f t="shared" si="0"/>
        <v>30</v>
      </c>
      <c r="G10" s="107"/>
      <c r="H10" s="107"/>
      <c r="I10" s="107"/>
      <c r="J10" s="107"/>
      <c r="K10" s="110">
        <f t="shared" si="1"/>
        <v>1.3636363636363636E-2</v>
      </c>
      <c r="L10" s="107"/>
      <c r="M10" s="109"/>
      <c r="N10" s="107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</row>
    <row r="11" spans="1:28" ht="12.75" customHeight="1">
      <c r="A11" s="108" t="s">
        <v>118</v>
      </c>
      <c r="B11" s="22">
        <f>SUM(B7:B10)</f>
        <v>11543</v>
      </c>
      <c r="C11" s="107"/>
      <c r="D11" s="22">
        <v>11359</v>
      </c>
      <c r="E11" s="107"/>
      <c r="F11" s="22">
        <f t="shared" si="0"/>
        <v>184</v>
      </c>
      <c r="G11" s="107"/>
      <c r="H11" s="107"/>
      <c r="I11" s="107"/>
      <c r="J11" s="107"/>
      <c r="K11" s="110">
        <f t="shared" si="1"/>
        <v>1.6198609032485253E-2</v>
      </c>
      <c r="L11" s="107"/>
      <c r="M11" s="109"/>
      <c r="N11" s="107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</row>
    <row r="12" spans="1:28" ht="12.75" customHeight="1">
      <c r="A12" s="108" t="s">
        <v>119</v>
      </c>
      <c r="B12" s="111">
        <f>SUM(B15:B18)</f>
        <v>17.399999999999999</v>
      </c>
      <c r="C12" s="107"/>
      <c r="D12" s="111">
        <v>17.3475</v>
      </c>
      <c r="E12" s="107"/>
      <c r="F12" s="112">
        <f t="shared" si="0"/>
        <v>5.2499999999998437E-2</v>
      </c>
      <c r="G12" s="113"/>
      <c r="H12" s="113"/>
      <c r="I12" s="113"/>
      <c r="J12" s="114"/>
      <c r="K12" s="110">
        <f t="shared" si="1"/>
        <v>3.0263726761780335E-3</v>
      </c>
      <c r="L12" s="107"/>
      <c r="M12" s="115"/>
      <c r="N12" s="107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</row>
    <row r="13" spans="1:28" ht="12.75" customHeight="1">
      <c r="A13" s="108" t="s">
        <v>120</v>
      </c>
      <c r="B13" s="113">
        <v>35789.120000000003</v>
      </c>
      <c r="C13" s="107"/>
      <c r="D13" s="113">
        <v>35789.120000000003</v>
      </c>
      <c r="E13" s="107"/>
      <c r="F13" s="88">
        <f t="shared" si="0"/>
        <v>0</v>
      </c>
      <c r="G13" s="107"/>
      <c r="H13" s="107"/>
      <c r="I13" s="107"/>
      <c r="J13" s="107"/>
      <c r="K13" s="110">
        <f t="shared" si="1"/>
        <v>0</v>
      </c>
      <c r="L13" s="107"/>
      <c r="M13" s="107"/>
      <c r="N13" s="107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</row>
    <row r="14" spans="1:28" ht="12.75" customHeight="1">
      <c r="A14" s="108" t="s">
        <v>121</v>
      </c>
      <c r="B14" s="110">
        <v>2.5000000000000001E-4</v>
      </c>
      <c r="C14" s="107"/>
      <c r="D14" s="110">
        <v>2.5000000000000001E-4</v>
      </c>
      <c r="E14" s="110"/>
      <c r="F14" s="110">
        <f t="shared" si="0"/>
        <v>0</v>
      </c>
      <c r="G14" s="110"/>
      <c r="H14" s="110"/>
      <c r="I14" s="110"/>
      <c r="J14" s="110"/>
      <c r="K14" s="110">
        <f t="shared" si="1"/>
        <v>0</v>
      </c>
      <c r="L14" s="107"/>
      <c r="M14" s="107"/>
      <c r="N14" s="107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</row>
    <row r="15" spans="1:28" ht="12.75" customHeight="1">
      <c r="A15" s="108" t="s">
        <v>122</v>
      </c>
      <c r="B15" s="114">
        <v>7.25</v>
      </c>
      <c r="C15" s="107"/>
      <c r="D15" s="114">
        <v>7.25</v>
      </c>
      <c r="E15" s="107"/>
      <c r="F15" s="112">
        <f t="shared" si="0"/>
        <v>0</v>
      </c>
      <c r="G15" s="107"/>
      <c r="H15" s="107"/>
      <c r="I15" s="107"/>
      <c r="J15" s="107"/>
      <c r="K15" s="110">
        <f t="shared" si="1"/>
        <v>0</v>
      </c>
      <c r="L15" s="107"/>
      <c r="M15" s="107"/>
      <c r="N15" s="107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</row>
    <row r="16" spans="1:28" ht="12.75" customHeight="1">
      <c r="A16" s="108" t="s">
        <v>123</v>
      </c>
      <c r="B16" s="114">
        <v>5.5</v>
      </c>
      <c r="C16" s="107"/>
      <c r="D16" s="114">
        <v>5.5</v>
      </c>
      <c r="E16" s="107"/>
      <c r="F16" s="112">
        <f t="shared" si="0"/>
        <v>0</v>
      </c>
      <c r="G16" s="107"/>
      <c r="H16" s="107"/>
      <c r="I16" s="107"/>
      <c r="J16" s="107"/>
      <c r="K16" s="110">
        <f t="shared" si="1"/>
        <v>0</v>
      </c>
      <c r="L16" s="107"/>
      <c r="M16" s="107"/>
      <c r="N16" s="107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</row>
    <row r="17" spans="1:28" ht="12.75" customHeight="1">
      <c r="A17" s="108" t="s">
        <v>124</v>
      </c>
      <c r="B17" s="111">
        <f>6.2*0.75</f>
        <v>4.6500000000000004</v>
      </c>
      <c r="C17" s="107"/>
      <c r="D17" s="111">
        <v>4.5975000000000001</v>
      </c>
      <c r="E17" s="107"/>
      <c r="F17" s="112">
        <f t="shared" si="0"/>
        <v>5.2500000000000213E-2</v>
      </c>
      <c r="G17" s="107"/>
      <c r="H17" s="107"/>
      <c r="I17" s="107"/>
      <c r="J17" s="107"/>
      <c r="K17" s="110">
        <f>IF(D17=0,1,+F17/D17)</f>
        <v>1.1419249592169703E-2</v>
      </c>
      <c r="L17" s="107"/>
      <c r="M17" s="107" t="s">
        <v>125</v>
      </c>
      <c r="N17" s="107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</row>
    <row r="18" spans="1:28" ht="12.75" customHeight="1">
      <c r="A18" s="108" t="s">
        <v>126</v>
      </c>
      <c r="B18" s="114">
        <v>0</v>
      </c>
      <c r="C18" s="107"/>
      <c r="D18" s="114">
        <v>0</v>
      </c>
      <c r="E18" s="107"/>
      <c r="F18" s="112">
        <f t="shared" si="0"/>
        <v>0</v>
      </c>
      <c r="G18" s="107"/>
      <c r="H18" s="107"/>
      <c r="I18" s="107"/>
      <c r="J18" s="107"/>
      <c r="K18" s="110" t="e">
        <f t="shared" ref="K18:K19" si="2">+F18/D18</f>
        <v>#DIV/0!</v>
      </c>
      <c r="L18" s="107"/>
      <c r="M18" s="107"/>
      <c r="N18" s="107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</row>
    <row r="19" spans="1:28" ht="12.75" customHeight="1">
      <c r="A19" s="108" t="s">
        <v>127</v>
      </c>
      <c r="B19" s="114">
        <v>0</v>
      </c>
      <c r="C19" s="107"/>
      <c r="D19" s="114">
        <v>0</v>
      </c>
      <c r="E19" s="107"/>
      <c r="F19" s="112">
        <f t="shared" si="0"/>
        <v>0</v>
      </c>
      <c r="G19" s="107"/>
      <c r="H19" s="107"/>
      <c r="I19" s="107"/>
      <c r="J19" s="107"/>
      <c r="K19" s="110" t="e">
        <f t="shared" si="2"/>
        <v>#DIV/0!</v>
      </c>
      <c r="L19" s="107"/>
      <c r="M19" s="107"/>
      <c r="N19" s="107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</row>
    <row r="20" spans="1:28" ht="12.7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</row>
    <row r="21" spans="1:28" ht="12.75" customHeight="1">
      <c r="A21" s="108" t="s">
        <v>128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</row>
    <row r="22" spans="1:28" ht="12.75" customHeight="1">
      <c r="A22" s="108" t="s">
        <v>129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</row>
    <row r="23" spans="1:28" ht="12.75" customHeight="1">
      <c r="A23" s="108" t="s">
        <v>130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</row>
    <row r="24" spans="1:28" ht="12.75" customHeight="1">
      <c r="A24" s="108" t="s">
        <v>131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</row>
    <row r="25" spans="1:28" ht="12.75" customHeight="1">
      <c r="A25" s="108"/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7"/>
      <c r="M25" s="107"/>
      <c r="N25" s="107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</row>
    <row r="26" spans="1:28" ht="12.75" customHeight="1">
      <c r="A26" s="116" t="s">
        <v>132</v>
      </c>
      <c r="B26" s="109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</row>
    <row r="27" spans="1:28" ht="12.75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</row>
    <row r="28" spans="1:28" ht="12.75" customHeight="1">
      <c r="A28" s="108" t="s">
        <v>133</v>
      </c>
      <c r="B28" s="22">
        <f>$B$7</f>
        <v>8000</v>
      </c>
      <c r="C28" s="56" t="s">
        <v>134</v>
      </c>
      <c r="D28" s="22">
        <f>B$10</f>
        <v>2230</v>
      </c>
      <c r="E28" s="108" t="s">
        <v>135</v>
      </c>
      <c r="F28" s="114">
        <f t="shared" ref="F28:F29" si="3">B$12</f>
        <v>17.399999999999999</v>
      </c>
      <c r="G28" s="108" t="s">
        <v>135</v>
      </c>
      <c r="H28" s="107">
        <v>3</v>
      </c>
      <c r="I28" s="108" t="s">
        <v>136</v>
      </c>
      <c r="J28" s="117" t="s">
        <v>137</v>
      </c>
      <c r="K28" s="22">
        <f t="shared" ref="K28:K29" si="4">ROUNDUP((+B28+D28)*F28*H28,0)</f>
        <v>534006</v>
      </c>
      <c r="L28" s="107"/>
      <c r="M28" s="107"/>
      <c r="N28" s="107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</row>
    <row r="29" spans="1:28" ht="12.75" customHeight="1">
      <c r="A29" s="108" t="s">
        <v>138</v>
      </c>
      <c r="B29" s="22">
        <f>$B$8</f>
        <v>1226</v>
      </c>
      <c r="C29" s="56" t="s">
        <v>134</v>
      </c>
      <c r="D29" s="22">
        <f>$B$9</f>
        <v>87</v>
      </c>
      <c r="E29" s="108" t="s">
        <v>135</v>
      </c>
      <c r="F29" s="114">
        <f t="shared" si="3"/>
        <v>17.399999999999999</v>
      </c>
      <c r="G29" s="108" t="s">
        <v>135</v>
      </c>
      <c r="H29" s="107">
        <v>3</v>
      </c>
      <c r="I29" s="108" t="s">
        <v>136</v>
      </c>
      <c r="J29" s="118"/>
      <c r="K29" s="69">
        <f t="shared" si="4"/>
        <v>68539</v>
      </c>
      <c r="L29" s="107"/>
      <c r="M29" s="107"/>
      <c r="N29" s="107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</row>
    <row r="30" spans="1:28" ht="12.75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17" t="s">
        <v>137</v>
      </c>
      <c r="K30" s="22">
        <f>K28+K29</f>
        <v>602545</v>
      </c>
      <c r="L30" s="107"/>
      <c r="M30" s="107"/>
      <c r="N30" s="107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</row>
    <row r="31" spans="1:28" ht="12.7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19" t="s">
        <v>135</v>
      </c>
      <c r="K31" s="120">
        <v>0.95</v>
      </c>
      <c r="L31" s="107"/>
      <c r="M31" s="107"/>
      <c r="N31" s="107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</row>
    <row r="32" spans="1:28" ht="13.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21" t="s">
        <v>137</v>
      </c>
      <c r="K32" s="122">
        <f>ROUNDUP(K30*K31,0)</f>
        <v>572418</v>
      </c>
      <c r="L32" s="107"/>
      <c r="M32" s="113">
        <f>K32</f>
        <v>572418</v>
      </c>
      <c r="N32" s="107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</row>
    <row r="33" spans="1:28" ht="14.2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4"/>
      <c r="K33" s="125"/>
      <c r="L33" s="123"/>
      <c r="M33" s="126"/>
      <c r="N33" s="107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</row>
    <row r="34" spans="1:28" ht="12.75" customHeight="1">
      <c r="A34" s="116" t="s">
        <v>139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22"/>
      <c r="L34" s="107"/>
      <c r="M34" s="113" t="s">
        <v>140</v>
      </c>
      <c r="N34" s="107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</row>
    <row r="35" spans="1:28" ht="12.75" customHeight="1">
      <c r="A35" s="108" t="s">
        <v>133</v>
      </c>
      <c r="B35" s="22">
        <f>$B$7</f>
        <v>8000</v>
      </c>
      <c r="C35" s="56" t="s">
        <v>134</v>
      </c>
      <c r="D35" s="22">
        <f>B$10</f>
        <v>2230</v>
      </c>
      <c r="E35" s="108" t="s">
        <v>135</v>
      </c>
      <c r="F35" s="114">
        <f t="shared" ref="F35:F36" si="5">+$B$15</f>
        <v>7.25</v>
      </c>
      <c r="G35" s="108" t="s">
        <v>135</v>
      </c>
      <c r="H35" s="107">
        <v>3</v>
      </c>
      <c r="I35" s="108" t="s">
        <v>136</v>
      </c>
      <c r="J35" s="117" t="s">
        <v>137</v>
      </c>
      <c r="K35" s="22">
        <f t="shared" ref="K35:K36" si="6">ROUNDUP((+B35+D35)*F35*H35,0)</f>
        <v>222503</v>
      </c>
      <c r="L35" s="107"/>
      <c r="M35" s="113"/>
      <c r="N35" s="107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</row>
    <row r="36" spans="1:28" ht="12.75" customHeight="1">
      <c r="A36" s="108" t="s">
        <v>138</v>
      </c>
      <c r="B36" s="22">
        <f>$B$8</f>
        <v>1226</v>
      </c>
      <c r="C36" s="56" t="s">
        <v>134</v>
      </c>
      <c r="D36" s="22">
        <f>$B$9</f>
        <v>87</v>
      </c>
      <c r="E36" s="108" t="s">
        <v>135</v>
      </c>
      <c r="F36" s="114">
        <f t="shared" si="5"/>
        <v>7.25</v>
      </c>
      <c r="G36" s="108" t="s">
        <v>135</v>
      </c>
      <c r="H36" s="107">
        <v>3</v>
      </c>
      <c r="I36" s="108" t="s">
        <v>136</v>
      </c>
      <c r="J36" s="118"/>
      <c r="K36" s="69">
        <f t="shared" si="6"/>
        <v>28558</v>
      </c>
      <c r="L36" s="107"/>
      <c r="M36" s="113"/>
      <c r="N36" s="107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</row>
    <row r="37" spans="1:28" ht="12.7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17" t="s">
        <v>137</v>
      </c>
      <c r="K37" s="22">
        <f>K35+K36</f>
        <v>251061</v>
      </c>
      <c r="L37" s="107"/>
      <c r="M37" s="113"/>
      <c r="N37" s="107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</row>
    <row r="38" spans="1:28" ht="12.75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19" t="s">
        <v>135</v>
      </c>
      <c r="K38" s="120">
        <v>0.95</v>
      </c>
      <c r="L38" s="107"/>
      <c r="M38" s="113"/>
      <c r="N38" s="107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</row>
    <row r="39" spans="1:28" ht="13.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21" t="s">
        <v>137</v>
      </c>
      <c r="K39" s="122">
        <f>ROUND(K37*K38-1,0)</f>
        <v>238507</v>
      </c>
      <c r="L39" s="107"/>
      <c r="M39" s="113"/>
      <c r="N39" s="107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</row>
    <row r="40" spans="1:28" ht="13.5" customHeight="1">
      <c r="A40" s="116" t="s">
        <v>141</v>
      </c>
      <c r="B40" s="107"/>
      <c r="C40" s="107"/>
      <c r="D40" s="107"/>
      <c r="E40" s="107"/>
      <c r="F40" s="107"/>
      <c r="G40" s="107"/>
      <c r="H40" s="107"/>
      <c r="I40" s="107"/>
      <c r="J40" s="107"/>
      <c r="K40" s="22"/>
      <c r="L40" s="107"/>
      <c r="M40" s="113"/>
      <c r="N40" s="107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</row>
    <row r="41" spans="1:28" ht="12.75" customHeight="1">
      <c r="A41" s="108" t="s">
        <v>133</v>
      </c>
      <c r="B41" s="22">
        <f>$B$7</f>
        <v>8000</v>
      </c>
      <c r="C41" s="56" t="s">
        <v>134</v>
      </c>
      <c r="D41" s="22">
        <f>B$10</f>
        <v>2230</v>
      </c>
      <c r="E41" s="108" t="s">
        <v>135</v>
      </c>
      <c r="F41" s="114">
        <f t="shared" ref="F41:F42" si="7">$B$16</f>
        <v>5.5</v>
      </c>
      <c r="G41" s="108" t="s">
        <v>135</v>
      </c>
      <c r="H41" s="107">
        <v>3</v>
      </c>
      <c r="I41" s="108" t="s">
        <v>136</v>
      </c>
      <c r="J41" s="117" t="s">
        <v>137</v>
      </c>
      <c r="K41" s="22">
        <f t="shared" ref="K41:K42" si="8">ROUNDUP((+B41+D41)*F41*H41,0)</f>
        <v>168795</v>
      </c>
      <c r="L41" s="107"/>
      <c r="M41" s="113"/>
      <c r="N41" s="107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</row>
    <row r="42" spans="1:28" ht="12.75" customHeight="1">
      <c r="A42" s="108" t="s">
        <v>138</v>
      </c>
      <c r="B42" s="22">
        <f>$B$8</f>
        <v>1226</v>
      </c>
      <c r="C42" s="56" t="s">
        <v>134</v>
      </c>
      <c r="D42" s="22">
        <f>$B$9</f>
        <v>87</v>
      </c>
      <c r="E42" s="108" t="s">
        <v>135</v>
      </c>
      <c r="F42" s="114">
        <f t="shared" si="7"/>
        <v>5.5</v>
      </c>
      <c r="G42" s="108" t="s">
        <v>135</v>
      </c>
      <c r="H42" s="107">
        <v>3</v>
      </c>
      <c r="I42" s="108" t="s">
        <v>136</v>
      </c>
      <c r="J42" s="118"/>
      <c r="K42" s="69">
        <f t="shared" si="8"/>
        <v>21665</v>
      </c>
      <c r="L42" s="107"/>
      <c r="M42" s="113"/>
      <c r="N42" s="107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</row>
    <row r="43" spans="1:28" ht="12.7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17" t="s">
        <v>137</v>
      </c>
      <c r="K43" s="22">
        <f>K41+K42</f>
        <v>190460</v>
      </c>
      <c r="L43" s="107"/>
      <c r="M43" s="113"/>
      <c r="N43" s="107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</row>
    <row r="44" spans="1:28" ht="12.7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19" t="s">
        <v>135</v>
      </c>
      <c r="K44" s="120">
        <v>0.95</v>
      </c>
      <c r="L44" s="107"/>
      <c r="M44" s="113"/>
      <c r="N44" s="107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</row>
    <row r="45" spans="1:28" ht="13.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21" t="s">
        <v>137</v>
      </c>
      <c r="K45" s="122">
        <f>ROUND(K43*K44,0)</f>
        <v>180937</v>
      </c>
      <c r="L45" s="107"/>
      <c r="M45" s="113">
        <f>-K45*0.05</f>
        <v>-9046.85</v>
      </c>
      <c r="N45" s="107"/>
      <c r="O45" s="127">
        <f>K45+M45</f>
        <v>171890.15</v>
      </c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</row>
    <row r="46" spans="1:28" ht="13.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17"/>
      <c r="K46" s="128"/>
      <c r="L46" s="107"/>
      <c r="M46" s="113"/>
      <c r="N46" s="107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</row>
    <row r="47" spans="1:28" ht="12.75" customHeight="1">
      <c r="A47" s="116" t="s">
        <v>142</v>
      </c>
      <c r="B47" s="107"/>
      <c r="C47" s="107"/>
      <c r="D47" s="107"/>
      <c r="E47" s="107"/>
      <c r="F47" s="107"/>
      <c r="G47" s="107"/>
      <c r="H47" s="107"/>
      <c r="I47" s="107"/>
      <c r="J47" s="107"/>
      <c r="K47" s="22"/>
      <c r="L47" s="107"/>
      <c r="M47" s="113"/>
      <c r="N47" s="107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</row>
    <row r="48" spans="1:28" ht="12.75" customHeight="1">
      <c r="A48" s="108" t="s">
        <v>133</v>
      </c>
      <c r="B48" s="22">
        <f>$B$7</f>
        <v>8000</v>
      </c>
      <c r="C48" s="56" t="s">
        <v>134</v>
      </c>
      <c r="D48" s="22">
        <f>B$10</f>
        <v>2230</v>
      </c>
      <c r="E48" s="108" t="s">
        <v>135</v>
      </c>
      <c r="F48" s="114">
        <f t="shared" ref="F48:F49" si="9">$B$17</f>
        <v>4.6500000000000004</v>
      </c>
      <c r="G48" s="108" t="s">
        <v>135</v>
      </c>
      <c r="H48" s="107">
        <v>3</v>
      </c>
      <c r="I48" s="108" t="s">
        <v>136</v>
      </c>
      <c r="J48" s="117" t="s">
        <v>137</v>
      </c>
      <c r="K48" s="22">
        <f t="shared" ref="K48:K49" si="10">ROUNDUP((+B48+D48)*F48*H48,0)</f>
        <v>142709</v>
      </c>
      <c r="L48" s="107"/>
      <c r="M48" s="113"/>
      <c r="N48" s="107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</row>
    <row r="49" spans="1:28" ht="12.75" customHeight="1">
      <c r="A49" s="108" t="s">
        <v>138</v>
      </c>
      <c r="B49" s="22">
        <f>$B$8</f>
        <v>1226</v>
      </c>
      <c r="C49" s="56" t="s">
        <v>134</v>
      </c>
      <c r="D49" s="22">
        <f>$B$9</f>
        <v>87</v>
      </c>
      <c r="E49" s="108" t="s">
        <v>135</v>
      </c>
      <c r="F49" s="114">
        <f t="shared" si="9"/>
        <v>4.6500000000000004</v>
      </c>
      <c r="G49" s="108" t="s">
        <v>135</v>
      </c>
      <c r="H49" s="107">
        <v>3</v>
      </c>
      <c r="I49" s="108" t="s">
        <v>136</v>
      </c>
      <c r="J49" s="118"/>
      <c r="K49" s="69">
        <f t="shared" si="10"/>
        <v>18317</v>
      </c>
      <c r="L49" s="107"/>
      <c r="M49" s="113"/>
      <c r="N49" s="107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</row>
    <row r="50" spans="1:28" ht="12.7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17" t="s">
        <v>137</v>
      </c>
      <c r="K50" s="22">
        <f>K48+K49</f>
        <v>161026</v>
      </c>
      <c r="L50" s="107"/>
      <c r="M50" s="113"/>
      <c r="N50" s="107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</row>
    <row r="51" spans="1:28" ht="12.7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19" t="s">
        <v>135</v>
      </c>
      <c r="K51" s="120">
        <v>0.95</v>
      </c>
      <c r="L51" s="107"/>
      <c r="M51" s="113"/>
      <c r="N51" s="107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</row>
    <row r="52" spans="1:28" ht="13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21" t="s">
        <v>137</v>
      </c>
      <c r="K52" s="122">
        <f>ROUND(K50*K51,0)</f>
        <v>152975</v>
      </c>
      <c r="L52" s="107"/>
      <c r="M52" s="113">
        <f>-K52*0.05</f>
        <v>-7648.75</v>
      </c>
      <c r="N52" s="107"/>
      <c r="O52" s="127">
        <f>K52+M52</f>
        <v>145326.25</v>
      </c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</row>
    <row r="53" spans="1:28" ht="13.5" customHeight="1">
      <c r="A53" s="116" t="s">
        <v>143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22"/>
      <c r="L53" s="107"/>
      <c r="M53" s="113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</row>
    <row r="54" spans="1:28" ht="12.75" customHeight="1">
      <c r="A54" s="108" t="s">
        <v>133</v>
      </c>
      <c r="B54" s="22">
        <f>$B$7</f>
        <v>8000</v>
      </c>
      <c r="C54" s="56" t="s">
        <v>134</v>
      </c>
      <c r="D54" s="22">
        <f>B$10</f>
        <v>2230</v>
      </c>
      <c r="E54" s="108" t="s">
        <v>135</v>
      </c>
      <c r="F54" s="114">
        <f t="shared" ref="F54:F55" si="11">$B$18</f>
        <v>0</v>
      </c>
      <c r="G54" s="108" t="s">
        <v>135</v>
      </c>
      <c r="H54" s="107">
        <v>3</v>
      </c>
      <c r="I54" s="108" t="s">
        <v>136</v>
      </c>
      <c r="J54" s="117" t="s">
        <v>137</v>
      </c>
      <c r="K54" s="22">
        <f t="shared" ref="K54:K55" si="12">ROUNDUP((+B54+D54)*F54*H54,0)</f>
        <v>0</v>
      </c>
      <c r="L54" s="107"/>
      <c r="M54" s="113"/>
      <c r="N54" s="107"/>
      <c r="O54" s="107"/>
      <c r="P54" s="107"/>
      <c r="Q54" s="113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</row>
    <row r="55" spans="1:28" ht="12.75" customHeight="1">
      <c r="A55" s="108" t="s">
        <v>138</v>
      </c>
      <c r="B55" s="22">
        <f>$B$8</f>
        <v>1226</v>
      </c>
      <c r="C55" s="56" t="s">
        <v>134</v>
      </c>
      <c r="D55" s="22">
        <f>$B$9</f>
        <v>87</v>
      </c>
      <c r="E55" s="108" t="s">
        <v>135</v>
      </c>
      <c r="F55" s="114">
        <f t="shared" si="11"/>
        <v>0</v>
      </c>
      <c r="G55" s="108" t="s">
        <v>135</v>
      </c>
      <c r="H55" s="107">
        <v>3</v>
      </c>
      <c r="I55" s="108" t="s">
        <v>136</v>
      </c>
      <c r="J55" s="118"/>
      <c r="K55" s="69">
        <f t="shared" si="12"/>
        <v>0</v>
      </c>
      <c r="L55" s="107"/>
      <c r="M55" s="113"/>
      <c r="N55" s="107"/>
      <c r="O55" s="107"/>
      <c r="P55" s="107"/>
      <c r="Q55" s="113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</row>
    <row r="56" spans="1:28" ht="12.7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17" t="s">
        <v>137</v>
      </c>
      <c r="K56" s="22">
        <f>K54+K55</f>
        <v>0</v>
      </c>
      <c r="L56" s="107"/>
      <c r="M56" s="113"/>
      <c r="N56" s="107"/>
      <c r="O56" s="107"/>
      <c r="P56" s="107"/>
      <c r="Q56" s="113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</row>
    <row r="57" spans="1:28" ht="12.7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19" t="s">
        <v>135</v>
      </c>
      <c r="K57" s="120">
        <v>0.95</v>
      </c>
      <c r="L57" s="107"/>
      <c r="M57" s="113"/>
      <c r="N57" s="107"/>
      <c r="O57" s="107"/>
      <c r="P57" s="107"/>
      <c r="Q57" s="113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</row>
    <row r="58" spans="1:28" ht="13.5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21" t="s">
        <v>137</v>
      </c>
      <c r="K58" s="122">
        <f>ROUND(K56*K57,0)</f>
        <v>0</v>
      </c>
      <c r="L58" s="107"/>
      <c r="M58" s="129">
        <f>SUM(K39,K52,K58)</f>
        <v>391482</v>
      </c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</row>
    <row r="59" spans="1:28" ht="13.5" customHeight="1">
      <c r="A59" s="116" t="s">
        <v>144</v>
      </c>
      <c r="B59" s="107"/>
      <c r="C59" s="107"/>
      <c r="D59" s="107"/>
      <c r="E59" s="107"/>
      <c r="F59" s="107"/>
      <c r="G59" s="107"/>
      <c r="H59" s="107"/>
      <c r="I59" s="107"/>
      <c r="J59" s="107"/>
      <c r="K59" s="22"/>
      <c r="L59" s="107"/>
      <c r="M59" s="113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</row>
    <row r="60" spans="1:28" ht="12.75" customHeight="1">
      <c r="A60" s="108" t="s">
        <v>133</v>
      </c>
      <c r="B60" s="22">
        <f>$B$7</f>
        <v>8000</v>
      </c>
      <c r="C60" s="56" t="s">
        <v>134</v>
      </c>
      <c r="D60" s="22">
        <f>B$10</f>
        <v>2230</v>
      </c>
      <c r="E60" s="108" t="s">
        <v>135</v>
      </c>
      <c r="F60" s="114">
        <f t="shared" ref="F60:F61" si="13">$B$19-(3*$B$18)</f>
        <v>0</v>
      </c>
      <c r="G60" s="108" t="s">
        <v>135</v>
      </c>
      <c r="H60" s="107">
        <v>1</v>
      </c>
      <c r="I60" s="108" t="s">
        <v>136</v>
      </c>
      <c r="J60" s="117" t="s">
        <v>137</v>
      </c>
      <c r="K60" s="22">
        <f t="shared" ref="K60:K61" si="14">ROUNDDOWN((+B60+D60)*F60*H60,0)</f>
        <v>0</v>
      </c>
      <c r="L60" s="107"/>
      <c r="M60" s="113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</row>
    <row r="61" spans="1:28" ht="12.75" customHeight="1">
      <c r="A61" s="108" t="s">
        <v>138</v>
      </c>
      <c r="B61" s="22">
        <f>$B$8</f>
        <v>1226</v>
      </c>
      <c r="C61" s="56" t="s">
        <v>134</v>
      </c>
      <c r="D61" s="22">
        <f>$B$9</f>
        <v>87</v>
      </c>
      <c r="E61" s="108" t="s">
        <v>135</v>
      </c>
      <c r="F61" s="114">
        <f t="shared" si="13"/>
        <v>0</v>
      </c>
      <c r="G61" s="108" t="s">
        <v>135</v>
      </c>
      <c r="H61" s="107">
        <v>1</v>
      </c>
      <c r="I61" s="108" t="s">
        <v>136</v>
      </c>
      <c r="J61" s="118"/>
      <c r="K61" s="69">
        <f t="shared" si="14"/>
        <v>0</v>
      </c>
      <c r="L61" s="107"/>
      <c r="M61" s="113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</row>
    <row r="62" spans="1:28" ht="12.7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17" t="s">
        <v>137</v>
      </c>
      <c r="K62" s="22">
        <f>K60+K61</f>
        <v>0</v>
      </c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</row>
    <row r="63" spans="1:28" ht="12.7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19" t="s">
        <v>135</v>
      </c>
      <c r="K63" s="120">
        <v>0.95</v>
      </c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</row>
    <row r="64" spans="1:28" ht="13.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21" t="s">
        <v>137</v>
      </c>
      <c r="K64" s="122">
        <f>ROUND(K62*K63,0)</f>
        <v>0</v>
      </c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</row>
    <row r="65" spans="1:28" ht="13.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</row>
    <row r="66" spans="1:28" ht="13.5" customHeight="1">
      <c r="A66" s="108" t="s">
        <v>145</v>
      </c>
      <c r="B66" s="107"/>
      <c r="C66" s="107"/>
      <c r="D66" s="113">
        <v>460000</v>
      </c>
      <c r="E66" s="108" t="s">
        <v>135</v>
      </c>
      <c r="F66" s="110">
        <v>5.0000000000000001E-4</v>
      </c>
      <c r="G66" s="107"/>
      <c r="H66" s="130"/>
      <c r="I66" s="108" t="s">
        <v>136</v>
      </c>
      <c r="J66" s="121" t="s">
        <v>137</v>
      </c>
      <c r="K66" s="122">
        <f>ROUND(D66*F66,0)</f>
        <v>230</v>
      </c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</row>
    <row r="67" spans="1:28" ht="14.25" customHeight="1">
      <c r="A67" s="108"/>
      <c r="B67" s="107"/>
      <c r="C67" s="107"/>
      <c r="D67" s="113"/>
      <c r="E67" s="108"/>
      <c r="F67" s="130"/>
      <c r="G67" s="107"/>
      <c r="H67" s="130"/>
      <c r="I67" s="108"/>
      <c r="J67" s="117"/>
      <c r="K67" s="22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</row>
    <row r="68" spans="1:28" ht="13.5" customHeight="1">
      <c r="A68" s="131"/>
      <c r="B68" s="132"/>
      <c r="C68" s="132"/>
      <c r="D68" s="133"/>
      <c r="E68" s="134"/>
      <c r="F68" s="135"/>
      <c r="G68" s="136"/>
      <c r="H68" s="135"/>
      <c r="I68" s="134"/>
      <c r="J68" s="137"/>
      <c r="K68" s="138"/>
      <c r="L68" s="136"/>
      <c r="M68" s="136"/>
      <c r="N68" s="136"/>
      <c r="O68" s="136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</row>
    <row r="69" spans="1:28" ht="12.75" customHeight="1">
      <c r="A69" s="108"/>
      <c r="B69" s="107"/>
      <c r="C69" s="107"/>
      <c r="D69" s="113"/>
      <c r="E69" s="108"/>
      <c r="F69" s="130"/>
      <c r="G69" s="107"/>
      <c r="H69" s="130"/>
      <c r="I69" s="108"/>
      <c r="J69" s="117"/>
      <c r="K69" s="22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</row>
    <row r="70" spans="1:28" ht="12.75" customHeight="1">
      <c r="A70" s="108"/>
      <c r="B70" s="107"/>
      <c r="C70" s="107"/>
      <c r="D70" s="113"/>
      <c r="E70" s="108"/>
      <c r="F70" s="130"/>
      <c r="G70" s="107"/>
      <c r="H70" s="130"/>
      <c r="I70" s="108"/>
      <c r="J70" s="117"/>
      <c r="K70" s="22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</row>
    <row r="71" spans="1:28" ht="12.75" customHeight="1">
      <c r="A71" s="108"/>
      <c r="B71" s="107"/>
      <c r="C71" s="107"/>
      <c r="D71" s="113"/>
      <c r="E71" s="108"/>
      <c r="F71" s="130"/>
      <c r="G71" s="107"/>
      <c r="H71" s="130"/>
      <c r="I71" s="108"/>
      <c r="J71" s="117"/>
      <c r="K71" s="22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</row>
    <row r="72" spans="1:28" ht="12.75" customHeight="1">
      <c r="A72" s="108"/>
      <c r="B72" s="107"/>
      <c r="C72" s="107"/>
      <c r="D72" s="113"/>
      <c r="E72" s="108"/>
      <c r="F72" s="130"/>
      <c r="G72" s="107"/>
      <c r="H72" s="130"/>
      <c r="I72" s="108"/>
      <c r="J72" s="117"/>
      <c r="K72" s="22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</row>
    <row r="73" spans="1:28" ht="12.75" customHeight="1">
      <c r="A73" s="108"/>
      <c r="B73" s="107"/>
      <c r="C73" s="107"/>
      <c r="D73" s="113"/>
      <c r="E73" s="108"/>
      <c r="F73" s="130"/>
      <c r="G73" s="107"/>
      <c r="H73" s="130"/>
      <c r="I73" s="108"/>
      <c r="J73" s="117"/>
      <c r="K73" s="22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</row>
    <row r="74" spans="1:28" ht="12.75" customHeight="1">
      <c r="A74" s="108"/>
      <c r="B74" s="107"/>
      <c r="C74" s="107"/>
      <c r="D74" s="113"/>
      <c r="E74" s="108"/>
      <c r="F74" s="130"/>
      <c r="G74" s="107"/>
      <c r="H74" s="130"/>
      <c r="I74" s="108"/>
      <c r="J74" s="117"/>
      <c r="K74" s="22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</row>
    <row r="75" spans="1:28" ht="12.75" customHeight="1">
      <c r="A75" s="108"/>
      <c r="B75" s="107"/>
      <c r="C75" s="107"/>
      <c r="D75" s="113"/>
      <c r="E75" s="108"/>
      <c r="F75" s="130"/>
      <c r="G75" s="107"/>
      <c r="H75" s="130"/>
      <c r="I75" s="108"/>
      <c r="J75" s="117"/>
      <c r="K75" s="22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</row>
    <row r="76" spans="1:28" ht="12.75" customHeight="1">
      <c r="A76" s="108"/>
      <c r="B76" s="107"/>
      <c r="C76" s="107"/>
      <c r="D76" s="113"/>
      <c r="E76" s="108"/>
      <c r="F76" s="130"/>
      <c r="G76" s="107"/>
      <c r="H76" s="130"/>
      <c r="I76" s="108"/>
      <c r="J76" s="117"/>
      <c r="K76" s="22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</row>
    <row r="77" spans="1:28" ht="12.75" customHeight="1">
      <c r="A77" s="108"/>
      <c r="B77" s="107"/>
      <c r="C77" s="107"/>
      <c r="D77" s="113"/>
      <c r="E77" s="108"/>
      <c r="F77" s="130"/>
      <c r="G77" s="107"/>
      <c r="H77" s="130"/>
      <c r="I77" s="108"/>
      <c r="J77" s="117"/>
      <c r="K77" s="22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</row>
    <row r="78" spans="1:28" ht="12.7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6"/>
      <c r="K78" s="106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</row>
    <row r="79" spans="1:28" ht="12.75" customHeight="1">
      <c r="A79" s="108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</row>
    <row r="80" spans="1:28" ht="12.7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</row>
    <row r="81" spans="1:28" ht="12.7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</row>
    <row r="82" spans="1:28" ht="12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</row>
    <row r="83" spans="1:28" ht="12.7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</row>
    <row r="84" spans="1:28" ht="12.7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</row>
    <row r="85" spans="1:28" ht="12.7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</row>
    <row r="86" spans="1:28" ht="12.7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</row>
    <row r="87" spans="1:28" ht="12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</row>
    <row r="88" spans="1:28" ht="12.7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</row>
    <row r="89" spans="1:28" ht="12.7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</row>
    <row r="90" spans="1:28" ht="12.7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</row>
    <row r="91" spans="1:28" ht="12.7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</row>
    <row r="92" spans="1:28" ht="12.7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</row>
    <row r="93" spans="1:28" ht="12.7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</row>
    <row r="94" spans="1:28" ht="12.7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</row>
    <row r="95" spans="1:28" ht="12.7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</row>
    <row r="96" spans="1:28" ht="12.7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</row>
    <row r="97" spans="1:28" ht="12.7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</row>
    <row r="98" spans="1:28" ht="12.7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</row>
    <row r="99" spans="1:28" ht="12.7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</row>
    <row r="100" spans="1:28" ht="12.7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</row>
    <row r="101" spans="1:28" ht="12.7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</row>
    <row r="102" spans="1:28" ht="12.7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</row>
    <row r="103" spans="1:28" ht="12.7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</row>
    <row r="104" spans="1:28" ht="12.7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</row>
    <row r="106" spans="1:28" ht="12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</row>
    <row r="107" spans="1:28" ht="12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</row>
    <row r="108" spans="1:28" ht="12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12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</row>
    <row r="110" spans="1:28" ht="12.7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</row>
    <row r="111" spans="1:28" ht="12.7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</row>
    <row r="112" spans="1:28" ht="12.7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</row>
    <row r="113" spans="1:28" ht="12.7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</row>
    <row r="114" spans="1:28" ht="12.7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</row>
    <row r="115" spans="1:28" ht="12.7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</row>
    <row r="116" spans="1:28" ht="12.7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</row>
    <row r="117" spans="1:28" ht="12.7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</row>
    <row r="118" spans="1:28" ht="12.7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</row>
    <row r="119" spans="1:28" ht="12.7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</row>
    <row r="120" spans="1:28" ht="12.7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</row>
    <row r="121" spans="1:28" ht="12.7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</row>
    <row r="122" spans="1:28" ht="12.7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</row>
    <row r="123" spans="1:28" ht="12.7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</row>
    <row r="124" spans="1:28" ht="12.7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</row>
    <row r="125" spans="1:28" ht="12.7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</row>
    <row r="126" spans="1:28" ht="12.7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</row>
    <row r="127" spans="1:28" ht="12.7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</row>
    <row r="128" spans="1:28" ht="12.7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</row>
    <row r="129" spans="1:28" ht="12.7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</row>
    <row r="130" spans="1:28" ht="12.7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</row>
    <row r="131" spans="1:28" ht="12.7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</row>
    <row r="132" spans="1:28" ht="12.7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</row>
    <row r="133" spans="1:28" ht="12.7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</row>
    <row r="134" spans="1:28" ht="12.7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</row>
    <row r="135" spans="1:28" ht="12.7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</row>
    <row r="136" spans="1:28" ht="12.7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</row>
    <row r="137" spans="1:28" ht="12.7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</row>
    <row r="138" spans="1:28" ht="12.7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</row>
    <row r="139" spans="1:28" ht="12.7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</row>
    <row r="140" spans="1:28" ht="12.7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</row>
    <row r="141" spans="1:28" ht="12.7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</row>
    <row r="142" spans="1:28" ht="12.7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</row>
    <row r="143" spans="1:28" ht="12.7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</row>
    <row r="144" spans="1:28" ht="12.7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</row>
    <row r="145" spans="1:28" ht="12.7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</row>
    <row r="146" spans="1:28" ht="12.7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</row>
    <row r="147" spans="1:28" ht="12.7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</row>
    <row r="148" spans="1:28" ht="12.7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</row>
    <row r="149" spans="1:28" ht="12.7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</row>
    <row r="150" spans="1:28" ht="12.7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</row>
    <row r="151" spans="1:28" ht="12.7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</row>
    <row r="152" spans="1:28" ht="12.7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</row>
    <row r="153" spans="1:28" ht="12.7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</row>
    <row r="154" spans="1:28" ht="12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</row>
    <row r="155" spans="1:28" ht="12.7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</row>
    <row r="156" spans="1:28" ht="12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</row>
    <row r="157" spans="1:28" ht="12.7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</row>
    <row r="158" spans="1:28" ht="12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</row>
    <row r="159" spans="1:28" ht="12.7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</row>
    <row r="160" spans="1:28" ht="12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</row>
    <row r="161" spans="1:28" ht="12.7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</row>
    <row r="162" spans="1:28" ht="12.7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</row>
    <row r="163" spans="1:28" ht="12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</row>
    <row r="164" spans="1:28" ht="12.7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</row>
    <row r="165" spans="1:28" ht="12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</row>
    <row r="166" spans="1:28" ht="12.7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ht="12.7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ht="12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ht="12.7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ht="12.7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ht="12.7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ht="12.7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ht="12.7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ht="12.7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</row>
    <row r="175" spans="1:28" ht="12.7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</row>
    <row r="176" spans="1:28" ht="12.7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</row>
    <row r="177" spans="1:28" ht="12.7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</row>
    <row r="178" spans="1:28" ht="12.7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</row>
    <row r="179" spans="1:28" ht="12.7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</row>
    <row r="180" spans="1:28" ht="12.7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</row>
    <row r="181" spans="1:28" ht="12.7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</row>
    <row r="182" spans="1:28" ht="12.7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</row>
    <row r="183" spans="1:28" ht="12.7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</row>
    <row r="184" spans="1:28" ht="12.7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</row>
    <row r="185" spans="1:28" ht="12.7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</row>
    <row r="186" spans="1:28" ht="12.7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</row>
    <row r="187" spans="1:28" ht="12.7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</row>
    <row r="188" spans="1:28" ht="12.7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</row>
    <row r="189" spans="1:28" ht="12.7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</row>
    <row r="190" spans="1:28" ht="12.7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</row>
    <row r="191" spans="1:28" ht="12.7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</row>
    <row r="192" spans="1:28" ht="12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</row>
    <row r="193" spans="1:28" ht="12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</row>
    <row r="194" spans="1:28" ht="12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</row>
    <row r="195" spans="1:28" ht="12.7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</row>
    <row r="196" spans="1:28" ht="12.7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</row>
    <row r="197" spans="1:28" ht="12.7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</row>
    <row r="198" spans="1:28" ht="12.7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</row>
    <row r="199" spans="1:28" ht="12.7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</row>
    <row r="200" spans="1:28" ht="12.7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</row>
    <row r="201" spans="1:28" ht="12.7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</row>
    <row r="202" spans="1:28" ht="12.7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</row>
    <row r="203" spans="1:28" ht="12.7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</row>
    <row r="204" spans="1:28" ht="12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</row>
    <row r="205" spans="1:28" ht="12.7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</row>
    <row r="206" spans="1:28" ht="12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</row>
    <row r="207" spans="1:28" ht="12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</row>
    <row r="208" spans="1:28" ht="12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</row>
    <row r="209" spans="1:28" ht="12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</row>
    <row r="210" spans="1:28" ht="12.7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</row>
    <row r="211" spans="1:28" ht="12.7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</row>
    <row r="212" spans="1:28" ht="12.7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</row>
    <row r="213" spans="1:28" ht="12.7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</row>
    <row r="214" spans="1:28" ht="12.7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</row>
    <row r="215" spans="1:28" ht="12.7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</row>
    <row r="216" spans="1:28" ht="12.7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</row>
    <row r="217" spans="1:28" ht="12.7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</row>
    <row r="218" spans="1:28" ht="12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</row>
    <row r="219" spans="1:28" ht="12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</row>
    <row r="220" spans="1:28" ht="12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</row>
    <row r="221" spans="1:28" ht="12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</row>
    <row r="222" spans="1:28" ht="12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</row>
    <row r="223" spans="1:28" ht="12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</row>
    <row r="224" spans="1:28" ht="12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</row>
    <row r="225" spans="1:28" ht="12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</row>
    <row r="226" spans="1:28" ht="12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</row>
    <row r="227" spans="1:28" ht="12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</row>
    <row r="228" spans="1:28" ht="12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</row>
    <row r="229" spans="1:28" ht="12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</row>
    <row r="230" spans="1:28" ht="12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</row>
    <row r="231" spans="1:28" ht="12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</row>
    <row r="232" spans="1:28" ht="12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</row>
    <row r="233" spans="1:28" ht="12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</row>
    <row r="234" spans="1:28" ht="12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</row>
    <row r="235" spans="1:28" ht="12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</row>
    <row r="236" spans="1:28" ht="12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</row>
    <row r="237" spans="1:28" ht="12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</row>
    <row r="238" spans="1:28" ht="12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</row>
    <row r="239" spans="1:28" ht="12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</row>
    <row r="240" spans="1:28" ht="12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</row>
    <row r="241" spans="1:28" ht="12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</row>
    <row r="242" spans="1:28" ht="12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</row>
    <row r="243" spans="1:28" ht="12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</row>
    <row r="244" spans="1:28" ht="12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</row>
    <row r="245" spans="1:28" ht="12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</row>
    <row r="246" spans="1:28" ht="12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</row>
    <row r="247" spans="1:28" ht="12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</row>
    <row r="248" spans="1:28" ht="12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</row>
    <row r="249" spans="1:28" ht="12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</row>
    <row r="250" spans="1:28" ht="12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</row>
    <row r="251" spans="1:28" ht="12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</row>
    <row r="252" spans="1:28" ht="12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</row>
    <row r="253" spans="1:28" ht="12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</row>
    <row r="254" spans="1:28" ht="12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</row>
    <row r="255" spans="1:28" ht="12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</row>
    <row r="256" spans="1:28" ht="12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</row>
    <row r="257" spans="1:28" ht="12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</row>
    <row r="258" spans="1:28" ht="12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</row>
    <row r="259" spans="1:28" ht="12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</row>
    <row r="260" spans="1:28" ht="12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</row>
    <row r="261" spans="1:28" ht="12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</row>
    <row r="262" spans="1:28" ht="12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</row>
    <row r="263" spans="1:28" ht="12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</row>
    <row r="264" spans="1:28" ht="12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</row>
    <row r="265" spans="1:28" ht="12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</row>
    <row r="266" spans="1:28" ht="12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</row>
    <row r="267" spans="1:28" ht="15.75" customHeight="1"/>
    <row r="268" spans="1:28" ht="15.75" customHeight="1"/>
    <row r="269" spans="1:28" ht="15.75" customHeight="1"/>
    <row r="270" spans="1:28" ht="15.75" customHeight="1"/>
    <row r="271" spans="1:28" ht="15.75" customHeight="1"/>
    <row r="272" spans="1:2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K1"/>
    <mergeCell ref="A2:K2"/>
    <mergeCell ref="A3:K3"/>
  </mergeCells>
  <pageMargins left="0.7" right="0.7" top="0.75" bottom="0.75" header="0" footer="0"/>
  <pageSetup orientation="landscape"/>
  <headerFooter>
    <oddFooter>&amp;LASUCLA Student Support Services&amp;RPrinted on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2"/>
  <sheetViews>
    <sheetView workbookViewId="0">
      <selection activeCell="L28" sqref="L28"/>
    </sheetView>
  </sheetViews>
  <sheetFormatPr defaultColWidth="14.42578125" defaultRowHeight="15" customHeight="1"/>
  <cols>
    <col min="1" max="1" width="54.28515625" customWidth="1"/>
    <col min="2" max="2" width="6.140625" bestFit="1" customWidth="1"/>
    <col min="3" max="3" width="10.42578125" customWidth="1"/>
    <col min="4" max="4" width="8.85546875" customWidth="1"/>
    <col min="5" max="7" width="10.7109375" customWidth="1"/>
    <col min="8" max="8" width="3.7109375" customWidth="1"/>
    <col min="9" max="9" width="10.7109375" customWidth="1"/>
    <col min="10" max="10" width="2.5703125" customWidth="1"/>
    <col min="11" max="11" width="12.42578125" customWidth="1"/>
    <col min="12" max="12" width="20.7109375" customWidth="1"/>
    <col min="13" max="13" width="7.85546875" customWidth="1"/>
    <col min="14" max="26" width="8" customWidth="1"/>
  </cols>
  <sheetData>
    <row r="1" spans="1:26" ht="12.75" customHeight="1">
      <c r="A1" s="233" t="s">
        <v>0</v>
      </c>
      <c r="B1" s="234"/>
      <c r="C1" s="234"/>
      <c r="D1" s="234"/>
      <c r="E1" s="234"/>
      <c r="F1" s="234"/>
      <c r="G1" s="234"/>
      <c r="H1" s="234"/>
      <c r="I1" s="234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38" t="s">
        <v>146</v>
      </c>
      <c r="B3" s="234"/>
      <c r="C3" s="234"/>
      <c r="D3" s="234"/>
      <c r="E3" s="234"/>
      <c r="F3" s="234"/>
      <c r="G3" s="234"/>
      <c r="H3" s="234"/>
      <c r="I3" s="234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2"/>
      <c r="B5" s="2"/>
      <c r="C5" s="2"/>
      <c r="D5" s="2"/>
      <c r="E5" s="102"/>
      <c r="F5" s="2"/>
      <c r="G5" s="2"/>
      <c r="I5" s="47"/>
      <c r="J5" s="1"/>
      <c r="K5" s="47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6"/>
      <c r="B6" s="6"/>
      <c r="C6" s="139"/>
      <c r="D6" s="140" t="s">
        <v>147</v>
      </c>
      <c r="E6" s="9"/>
      <c r="F6" s="141" t="s">
        <v>3</v>
      </c>
      <c r="G6" s="142" t="s">
        <v>148</v>
      </c>
      <c r="I6" s="9" t="s">
        <v>3</v>
      </c>
      <c r="J6" s="1"/>
      <c r="K6" s="9" t="s">
        <v>148</v>
      </c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0"/>
      <c r="B7" s="143" t="s">
        <v>149</v>
      </c>
      <c r="C7" s="144"/>
      <c r="D7" s="143" t="s">
        <v>150</v>
      </c>
      <c r="E7" s="11"/>
      <c r="F7" s="11" t="s">
        <v>7</v>
      </c>
      <c r="G7" s="11" t="s">
        <v>6</v>
      </c>
      <c r="I7" s="11" t="s">
        <v>8</v>
      </c>
      <c r="J7" s="1"/>
      <c r="K7" s="1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3" t="s">
        <v>151</v>
      </c>
      <c r="B8" s="145"/>
      <c r="C8" s="146"/>
      <c r="D8" s="145" t="s">
        <v>152</v>
      </c>
      <c r="E8" s="15"/>
      <c r="F8" s="147" t="s">
        <v>11</v>
      </c>
      <c r="G8" s="148" t="s">
        <v>12</v>
      </c>
      <c r="I8" s="15" t="s">
        <v>11</v>
      </c>
      <c r="J8" s="1"/>
      <c r="K8" s="15" t="s">
        <v>12</v>
      </c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10" t="s">
        <v>153</v>
      </c>
      <c r="B9" s="143" t="s">
        <v>154</v>
      </c>
      <c r="C9" s="144"/>
      <c r="D9" s="143"/>
      <c r="E9" s="11"/>
      <c r="F9" s="11"/>
      <c r="G9" s="11"/>
      <c r="I9" s="11"/>
      <c r="J9" s="1"/>
      <c r="K9" s="1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49" t="s">
        <v>155</v>
      </c>
      <c r="B10" s="143">
        <v>12</v>
      </c>
      <c r="C10" s="144"/>
      <c r="D10" s="150">
        <v>1216</v>
      </c>
      <c r="E10" s="73"/>
      <c r="F10" s="73">
        <v>14592</v>
      </c>
      <c r="G10" s="73">
        <v>0</v>
      </c>
      <c r="I10" s="73">
        <f t="shared" ref="I10:I13" si="0">B10*D10</f>
        <v>14592</v>
      </c>
      <c r="J10" s="22"/>
      <c r="K10" s="73"/>
      <c r="L10" s="22" t="b">
        <f>I10=1040</f>
        <v>0</v>
      </c>
      <c r="M10" s="2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49" t="s">
        <v>156</v>
      </c>
      <c r="B11" s="143">
        <v>12</v>
      </c>
      <c r="C11" s="144"/>
      <c r="D11" s="150">
        <v>1012</v>
      </c>
      <c r="E11" s="73"/>
      <c r="F11" s="73">
        <v>12144</v>
      </c>
      <c r="G11" s="73">
        <v>0</v>
      </c>
      <c r="I11" s="73">
        <f t="shared" si="0"/>
        <v>12144</v>
      </c>
      <c r="J11" s="22"/>
      <c r="K11" s="73">
        <v>11</v>
      </c>
      <c r="L11" s="2"/>
      <c r="M11" s="2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49" t="s">
        <v>157</v>
      </c>
      <c r="B12" s="143">
        <v>12</v>
      </c>
      <c r="C12" s="144"/>
      <c r="D12" s="150">
        <v>1012</v>
      </c>
      <c r="E12" s="73"/>
      <c r="F12" s="73">
        <v>12144</v>
      </c>
      <c r="G12" s="73">
        <v>0</v>
      </c>
      <c r="I12" s="73">
        <f t="shared" si="0"/>
        <v>12144</v>
      </c>
      <c r="J12" s="22"/>
      <c r="K12" s="73"/>
      <c r="L12" s="22"/>
      <c r="M12" s="2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49" t="s">
        <v>158</v>
      </c>
      <c r="B13" s="143">
        <v>12</v>
      </c>
      <c r="C13" s="144"/>
      <c r="D13" s="150">
        <v>1012</v>
      </c>
      <c r="E13" s="73"/>
      <c r="F13" s="73">
        <v>12144</v>
      </c>
      <c r="G13" s="73">
        <v>0</v>
      </c>
      <c r="I13" s="151">
        <f t="shared" si="0"/>
        <v>12144</v>
      </c>
      <c r="J13" s="22"/>
      <c r="K13" s="151"/>
      <c r="L13" s="22"/>
      <c r="M13" s="2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75" t="s">
        <v>159</v>
      </c>
      <c r="B14" s="75"/>
      <c r="C14" s="152"/>
      <c r="D14" s="75"/>
      <c r="E14" s="153"/>
      <c r="F14" s="153">
        <v>51024</v>
      </c>
      <c r="G14" s="153">
        <f>SUM(G10:G13)</f>
        <v>0</v>
      </c>
      <c r="I14" s="154">
        <f>SUM(I10:I13)</f>
        <v>51024</v>
      </c>
      <c r="J14" s="102"/>
      <c r="K14" s="153">
        <f>SUM(K10:K13)</f>
        <v>11</v>
      </c>
      <c r="L14" s="102"/>
      <c r="M14" s="10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49" t="s">
        <v>160</v>
      </c>
      <c r="B15" s="143" t="s">
        <v>161</v>
      </c>
      <c r="C15" s="144"/>
      <c r="D15" s="143"/>
      <c r="E15" s="73"/>
      <c r="F15" s="73"/>
      <c r="G15" s="73"/>
      <c r="I15" s="73"/>
      <c r="J15" s="22"/>
      <c r="K15" s="155"/>
      <c r="L15" s="22"/>
      <c r="M15" s="2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56" t="s">
        <v>162</v>
      </c>
      <c r="B16" s="143">
        <v>3</v>
      </c>
      <c r="C16" s="144"/>
      <c r="D16" s="150">
        <v>2112</v>
      </c>
      <c r="E16" s="157"/>
      <c r="F16" s="73">
        <v>8448</v>
      </c>
      <c r="G16" s="73">
        <v>0</v>
      </c>
      <c r="I16" s="73">
        <f t="shared" ref="I16:I23" si="1">B16*D16</f>
        <v>6336</v>
      </c>
      <c r="J16" s="22" t="s">
        <v>163</v>
      </c>
      <c r="K16" s="73"/>
      <c r="L16" s="22"/>
      <c r="M16" s="2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56" t="s">
        <v>164</v>
      </c>
      <c r="B17" s="143">
        <v>3</v>
      </c>
      <c r="C17" s="144"/>
      <c r="D17" s="150">
        <v>2112</v>
      </c>
      <c r="E17" s="157"/>
      <c r="F17" s="73">
        <v>6336</v>
      </c>
      <c r="G17" s="73">
        <v>0</v>
      </c>
      <c r="I17" s="73">
        <f t="shared" si="1"/>
        <v>6336</v>
      </c>
      <c r="J17" s="22" t="s">
        <v>165</v>
      </c>
      <c r="K17" s="73"/>
      <c r="L17" s="22" t="s">
        <v>163</v>
      </c>
      <c r="M17" s="2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56" t="s">
        <v>166</v>
      </c>
      <c r="B18" s="143">
        <v>3</v>
      </c>
      <c r="C18" s="144"/>
      <c r="D18" s="150">
        <v>2112</v>
      </c>
      <c r="E18" s="157"/>
      <c r="F18" s="73">
        <v>6336</v>
      </c>
      <c r="G18" s="73">
        <v>0</v>
      </c>
      <c r="I18" s="73">
        <f t="shared" si="1"/>
        <v>6336</v>
      </c>
      <c r="J18" s="22" t="s">
        <v>163</v>
      </c>
      <c r="K18" s="73"/>
      <c r="L18" s="22"/>
      <c r="M18" s="2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49" t="s">
        <v>167</v>
      </c>
      <c r="B19" s="143" t="s">
        <v>168</v>
      </c>
      <c r="C19" s="144"/>
      <c r="D19" s="150">
        <v>2112</v>
      </c>
      <c r="E19" s="157"/>
      <c r="F19" s="73">
        <v>6336</v>
      </c>
      <c r="G19" s="73">
        <v>0</v>
      </c>
      <c r="I19" s="73">
        <f t="shared" si="1"/>
        <v>6336</v>
      </c>
      <c r="J19" s="22" t="s">
        <v>169</v>
      </c>
      <c r="K19" s="158"/>
      <c r="L19" s="22" t="s">
        <v>163</v>
      </c>
      <c r="M19" s="2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83" t="s">
        <v>201</v>
      </c>
      <c r="B20" s="184">
        <v>3</v>
      </c>
      <c r="C20" s="185"/>
      <c r="D20" s="186">
        <v>2664</v>
      </c>
      <c r="E20" s="187"/>
      <c r="F20" s="188">
        <v>7992</v>
      </c>
      <c r="G20" s="188">
        <v>0</v>
      </c>
      <c r="H20" s="189"/>
      <c r="I20" s="188">
        <f>(B20*D20)</f>
        <v>7992</v>
      </c>
      <c r="J20" s="190" t="s">
        <v>169</v>
      </c>
      <c r="K20" s="188"/>
      <c r="L20" s="22" t="s">
        <v>163</v>
      </c>
      <c r="M20" s="2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56" t="s">
        <v>170</v>
      </c>
      <c r="B21" s="143">
        <v>3</v>
      </c>
      <c r="C21" s="144"/>
      <c r="D21" s="150">
        <v>2112</v>
      </c>
      <c r="E21" s="157"/>
      <c r="F21" s="73">
        <v>6336</v>
      </c>
      <c r="G21" s="73">
        <v>0</v>
      </c>
      <c r="I21" s="73">
        <f t="shared" si="1"/>
        <v>6336</v>
      </c>
      <c r="J21" s="22" t="s">
        <v>165</v>
      </c>
      <c r="K21" s="73"/>
      <c r="L21" s="22" t="s">
        <v>163</v>
      </c>
      <c r="M21" s="2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97" t="s">
        <v>202</v>
      </c>
      <c r="B22" s="191">
        <v>3</v>
      </c>
      <c r="C22" s="192"/>
      <c r="D22" s="193">
        <v>1332</v>
      </c>
      <c r="E22" s="194"/>
      <c r="F22" s="195">
        <v>0</v>
      </c>
      <c r="G22" s="195">
        <v>0</v>
      </c>
      <c r="H22" s="196"/>
      <c r="I22" s="73">
        <f>B22*D22</f>
        <v>3996</v>
      </c>
      <c r="J22" s="22" t="s">
        <v>163</v>
      </c>
      <c r="K22" s="195">
        <v>3996</v>
      </c>
      <c r="L22" s="199" t="s">
        <v>199</v>
      </c>
      <c r="M22" s="2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98" t="s">
        <v>203</v>
      </c>
      <c r="B23" s="191">
        <v>3</v>
      </c>
      <c r="C23" s="192"/>
      <c r="D23" s="193">
        <v>1332</v>
      </c>
      <c r="E23" s="194"/>
      <c r="F23" s="195">
        <v>0</v>
      </c>
      <c r="G23" s="195">
        <v>0</v>
      </c>
      <c r="H23" s="196"/>
      <c r="I23" s="73">
        <f t="shared" si="1"/>
        <v>3996</v>
      </c>
      <c r="J23" s="22" t="s">
        <v>163</v>
      </c>
      <c r="K23" s="195">
        <v>3996</v>
      </c>
      <c r="L23" s="199" t="s">
        <v>200</v>
      </c>
      <c r="M23" s="2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59"/>
      <c r="B24" s="173"/>
      <c r="C24" s="144"/>
      <c r="D24" s="174"/>
      <c r="E24" s="157"/>
      <c r="F24" s="73"/>
      <c r="G24" s="73"/>
      <c r="I24" s="73"/>
      <c r="J24" s="22"/>
      <c r="K24" s="73"/>
      <c r="L24" s="22"/>
      <c r="M24" s="2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49" t="s">
        <v>171</v>
      </c>
      <c r="B25" s="143"/>
      <c r="C25" s="144"/>
      <c r="D25" s="150"/>
      <c r="E25" s="73"/>
      <c r="F25" s="73"/>
      <c r="G25" s="73"/>
      <c r="I25" s="73"/>
      <c r="J25" s="22"/>
      <c r="K25" s="73"/>
      <c r="L25" s="22"/>
      <c r="M25" s="2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56" t="s">
        <v>172</v>
      </c>
      <c r="B26" s="143">
        <v>3</v>
      </c>
      <c r="C26" s="144"/>
      <c r="D26" s="150">
        <v>2112</v>
      </c>
      <c r="E26" s="157"/>
      <c r="F26" s="73">
        <v>6336</v>
      </c>
      <c r="G26" s="73">
        <v>0</v>
      </c>
      <c r="I26" s="73">
        <f>B26*D26</f>
        <v>6336</v>
      </c>
      <c r="J26" s="22" t="s">
        <v>163</v>
      </c>
      <c r="K26" s="73"/>
      <c r="L26" s="22"/>
      <c r="M26" s="2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56"/>
      <c r="B27" s="143"/>
      <c r="C27" s="144"/>
      <c r="D27" s="150"/>
      <c r="E27" s="157"/>
      <c r="F27" s="73"/>
      <c r="G27" s="73"/>
      <c r="I27" s="73"/>
      <c r="J27" s="22" t="s">
        <v>163</v>
      </c>
      <c r="K27" s="73"/>
      <c r="L27" s="22"/>
      <c r="M27" s="2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60"/>
      <c r="B28" s="143"/>
      <c r="C28" s="144"/>
      <c r="D28" s="150"/>
      <c r="E28" s="157"/>
      <c r="F28" s="73"/>
      <c r="G28" s="73"/>
      <c r="I28" s="73"/>
      <c r="J28" s="22"/>
      <c r="K28" s="73"/>
      <c r="L28" s="22"/>
      <c r="M28" s="2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161" t="s">
        <v>173</v>
      </c>
      <c r="B29" s="162">
        <f>B21+B20+B19</f>
        <v>9</v>
      </c>
      <c r="C29" s="163"/>
      <c r="D29" s="164">
        <f>D21+D20+D19</f>
        <v>6888</v>
      </c>
      <c r="E29" s="46"/>
      <c r="F29" s="165">
        <f>F20+F19</f>
        <v>14328</v>
      </c>
      <c r="G29" s="46"/>
      <c r="I29" s="165">
        <f>I20+I19</f>
        <v>14328</v>
      </c>
      <c r="J29" s="22" t="s">
        <v>169</v>
      </c>
      <c r="K29" s="46"/>
      <c r="L29" s="22"/>
      <c r="M29" s="2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161" t="s">
        <v>174</v>
      </c>
      <c r="B30" s="162">
        <f>B26+B17</f>
        <v>6</v>
      </c>
      <c r="C30" s="163"/>
      <c r="D30" s="164">
        <f>D17+D26</f>
        <v>4224</v>
      </c>
      <c r="E30" s="46"/>
      <c r="F30" s="165">
        <f>F17+F21</f>
        <v>12672</v>
      </c>
      <c r="G30" s="46"/>
      <c r="I30" s="165">
        <f>I17+I21</f>
        <v>12672</v>
      </c>
      <c r="J30" s="22" t="s">
        <v>165</v>
      </c>
      <c r="K30" s="46"/>
      <c r="L30" s="22"/>
      <c r="M30" s="2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161" t="s">
        <v>175</v>
      </c>
      <c r="B31" s="162">
        <f>B27+B18+B16</f>
        <v>6</v>
      </c>
      <c r="C31" s="163"/>
      <c r="D31" s="162"/>
      <c r="E31" s="46">
        <f>SUM(E16:E27)</f>
        <v>0</v>
      </c>
      <c r="F31" s="165">
        <f>F26+F18+F16</f>
        <v>21120</v>
      </c>
      <c r="G31" s="46">
        <f>SUM(G16:G27)</f>
        <v>0</v>
      </c>
      <c r="I31" s="165">
        <f>I26+I18+I16+I22+I23</f>
        <v>27000</v>
      </c>
      <c r="J31" s="22" t="s">
        <v>163</v>
      </c>
      <c r="K31" s="46">
        <f>SUM(K16:K27)</f>
        <v>7992</v>
      </c>
      <c r="L31" s="22"/>
      <c r="M31" s="2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95" t="s">
        <v>176</v>
      </c>
      <c r="B32" s="95"/>
      <c r="C32" s="166"/>
      <c r="D32" s="95"/>
      <c r="E32" s="98">
        <f>+E14+E31</f>
        <v>0</v>
      </c>
      <c r="F32" s="167">
        <f>F30+F29+F14+F31</f>
        <v>99144</v>
      </c>
      <c r="G32" s="98">
        <f>+G14+G31</f>
        <v>0</v>
      </c>
      <c r="I32" s="167">
        <f>I30+I29+I14+I31</f>
        <v>105024</v>
      </c>
      <c r="J32" s="22"/>
      <c r="K32" s="151">
        <f>K14+K31</f>
        <v>8003</v>
      </c>
      <c r="L32" s="22"/>
      <c r="M32" s="2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68" t="s">
        <v>177</v>
      </c>
      <c r="B33" s="2"/>
      <c r="C33" s="2"/>
      <c r="D33" s="2"/>
      <c r="E33" s="22"/>
      <c r="F33" s="22"/>
      <c r="G33" s="22"/>
      <c r="I33" s="2"/>
      <c r="J33" s="2"/>
      <c r="K33" s="2"/>
      <c r="L33" s="22"/>
      <c r="M33" s="2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69"/>
      <c r="B34" s="2"/>
      <c r="C34" s="2"/>
      <c r="D34" s="2"/>
      <c r="E34" s="22"/>
      <c r="F34" s="22"/>
      <c r="G34" s="22"/>
      <c r="I34" s="2"/>
      <c r="J34" s="2"/>
      <c r="K34" s="2"/>
      <c r="L34" s="22"/>
      <c r="M34" s="2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2"/>
      <c r="F35" s="22"/>
      <c r="G35" s="22"/>
      <c r="I35" s="2"/>
      <c r="J35" s="2"/>
      <c r="K35" s="2"/>
      <c r="L35" s="22"/>
      <c r="M35" s="2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 t="s">
        <v>178</v>
      </c>
      <c r="B43" s="87"/>
      <c r="C43" s="87"/>
      <c r="D43" s="4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 t="s">
        <v>179</v>
      </c>
      <c r="B44" s="87"/>
      <c r="C44" s="87"/>
      <c r="D44" s="47" t="s">
        <v>180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87"/>
      <c r="C45" s="87"/>
      <c r="D45" s="4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87"/>
      <c r="C46" s="87"/>
      <c r="D46" s="4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87"/>
      <c r="C47" s="87"/>
      <c r="D47" s="4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87"/>
      <c r="C48" s="87"/>
      <c r="D48" s="4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87"/>
      <c r="C49" s="87"/>
      <c r="D49" s="4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87"/>
      <c r="C50" s="87"/>
      <c r="D50" s="4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87"/>
      <c r="C51" s="87"/>
      <c r="D51" s="4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87"/>
      <c r="C52" s="87"/>
      <c r="D52" s="4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87"/>
      <c r="C53" s="87"/>
      <c r="D53" s="4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87"/>
      <c r="C54" s="87"/>
      <c r="D54" s="4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87"/>
      <c r="C55" s="87"/>
      <c r="D55" s="4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87"/>
      <c r="C56" s="8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87"/>
      <c r="C57" s="8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87"/>
      <c r="C58" s="8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87"/>
      <c r="C59" s="8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87"/>
      <c r="C60" s="8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87"/>
      <c r="C61" s="8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87"/>
      <c r="C62" s="8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87"/>
      <c r="C63" s="8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87"/>
      <c r="C64" s="87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87"/>
      <c r="C65" s="87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87"/>
      <c r="C66" s="8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87"/>
      <c r="C67" s="8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87"/>
      <c r="C68" s="87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87"/>
      <c r="C69" s="8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87"/>
      <c r="C70" s="8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87"/>
      <c r="C71" s="8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87"/>
      <c r="C72" s="8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87"/>
      <c r="C73" s="87"/>
      <c r="D73" s="170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87"/>
      <c r="C74" s="87"/>
      <c r="D74" s="170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87"/>
      <c r="C75" s="87"/>
      <c r="D75" s="4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87"/>
      <c r="C76" s="87"/>
      <c r="D76" s="4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">
    <mergeCell ref="A1:I1"/>
    <mergeCell ref="A2:I2"/>
    <mergeCell ref="A3:I3"/>
  </mergeCells>
  <pageMargins left="0.7" right="0.7" top="0.75" bottom="0.75" header="0" footer="0"/>
  <pageSetup scale="77" fitToHeight="0" orientation="landscape" r:id="rId1"/>
  <headerFooter>
    <oddHeader>&amp;RATTACHMENT A</oddHeader>
    <oddFooter>&amp;LASUCLA Student Support Services - 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I33" sqref="I33"/>
    </sheetView>
  </sheetViews>
  <sheetFormatPr defaultColWidth="14.42578125" defaultRowHeight="15" customHeight="1"/>
  <cols>
    <col min="1" max="1" width="36.7109375" customWidth="1"/>
    <col min="2" max="2" width="5.7109375" customWidth="1"/>
    <col min="3" max="3" width="10.42578125" customWidth="1"/>
    <col min="4" max="4" width="8.85546875" customWidth="1"/>
    <col min="5" max="7" width="10.7109375" customWidth="1"/>
    <col min="8" max="8" width="3.7109375" customWidth="1"/>
    <col min="9" max="9" width="10.7109375" customWidth="1"/>
    <col min="10" max="10" width="2.5703125" customWidth="1"/>
    <col min="11" max="11" width="12.42578125" customWidth="1"/>
    <col min="12" max="12" width="20.7109375" customWidth="1"/>
    <col min="13" max="13" width="2.5703125" customWidth="1"/>
    <col min="14" max="26" width="8" customWidth="1"/>
  </cols>
  <sheetData>
    <row r="1" spans="1:26" ht="12.75" customHeight="1">
      <c r="A1" s="233" t="s">
        <v>0</v>
      </c>
      <c r="B1" s="234"/>
      <c r="C1" s="234"/>
      <c r="D1" s="234"/>
      <c r="E1" s="234"/>
      <c r="F1" s="234"/>
      <c r="G1" s="234"/>
      <c r="H1" s="234"/>
      <c r="I1" s="234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38" t="s">
        <v>146</v>
      </c>
      <c r="B3" s="234"/>
      <c r="C3" s="234"/>
      <c r="D3" s="234"/>
      <c r="E3" s="234"/>
      <c r="F3" s="234"/>
      <c r="G3" s="234"/>
      <c r="H3" s="234"/>
      <c r="I3" s="234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2"/>
      <c r="B5" s="2"/>
      <c r="C5" s="2"/>
      <c r="D5" s="2"/>
      <c r="E5" s="102"/>
      <c r="F5" s="2"/>
      <c r="G5" s="2"/>
      <c r="I5" s="47"/>
      <c r="J5" s="1"/>
      <c r="K5" s="47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6"/>
      <c r="B6" s="6"/>
      <c r="C6" s="139"/>
      <c r="D6" s="140" t="s">
        <v>147</v>
      </c>
      <c r="E6" s="9"/>
      <c r="F6" s="141" t="s">
        <v>3</v>
      </c>
      <c r="G6" s="142" t="s">
        <v>148</v>
      </c>
      <c r="I6" s="9" t="s">
        <v>3</v>
      </c>
      <c r="J6" s="1"/>
      <c r="K6" s="9" t="s">
        <v>148</v>
      </c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0"/>
      <c r="B7" s="143" t="s">
        <v>149</v>
      </c>
      <c r="C7" s="144"/>
      <c r="D7" s="143" t="s">
        <v>150</v>
      </c>
      <c r="E7" s="11"/>
      <c r="F7" s="11" t="s">
        <v>7</v>
      </c>
      <c r="G7" s="11" t="s">
        <v>6</v>
      </c>
      <c r="I7" s="11" t="s">
        <v>8</v>
      </c>
      <c r="J7" s="1"/>
      <c r="K7" s="1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3" t="s">
        <v>151</v>
      </c>
      <c r="B8" s="145"/>
      <c r="C8" s="146"/>
      <c r="D8" s="145" t="s">
        <v>152</v>
      </c>
      <c r="E8" s="15"/>
      <c r="F8" s="147" t="s">
        <v>11</v>
      </c>
      <c r="G8" s="148" t="s">
        <v>12</v>
      </c>
      <c r="I8" s="15" t="s">
        <v>11</v>
      </c>
      <c r="J8" s="1"/>
      <c r="K8" s="15" t="s">
        <v>12</v>
      </c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10"/>
      <c r="B9" s="143" t="s">
        <v>154</v>
      </c>
      <c r="C9" s="144"/>
      <c r="D9" s="143"/>
      <c r="E9" s="11"/>
      <c r="F9" s="11"/>
      <c r="G9" s="11"/>
      <c r="I9" s="11"/>
      <c r="J9" s="1"/>
      <c r="K9" s="1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49"/>
      <c r="B10" s="143">
        <v>12</v>
      </c>
      <c r="C10" s="144"/>
      <c r="D10" s="150"/>
      <c r="E10" s="73"/>
      <c r="F10" s="73"/>
      <c r="G10" s="73"/>
      <c r="I10" s="73"/>
      <c r="J10" s="22"/>
      <c r="K10" s="73"/>
      <c r="L10" s="22"/>
      <c r="M10" s="2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49"/>
      <c r="B11" s="143">
        <v>12</v>
      </c>
      <c r="C11" s="144"/>
      <c r="D11" s="150"/>
      <c r="E11" s="73"/>
      <c r="F11" s="73"/>
      <c r="G11" s="73"/>
      <c r="I11" s="73"/>
      <c r="J11" s="22"/>
      <c r="K11" s="73"/>
      <c r="L11" s="2"/>
      <c r="M11" s="2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49"/>
      <c r="B12" s="143">
        <v>12</v>
      </c>
      <c r="C12" s="144"/>
      <c r="D12" s="150"/>
      <c r="E12" s="73"/>
      <c r="F12" s="73"/>
      <c r="G12" s="73"/>
      <c r="I12" s="73"/>
      <c r="J12" s="22"/>
      <c r="K12" s="73"/>
      <c r="L12" s="22"/>
      <c r="M12" s="2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49"/>
      <c r="B13" s="143">
        <v>12</v>
      </c>
      <c r="C13" s="144"/>
      <c r="D13" s="150"/>
      <c r="E13" s="73"/>
      <c r="F13" s="73"/>
      <c r="G13" s="73"/>
      <c r="I13" s="151"/>
      <c r="J13" s="22"/>
      <c r="K13" s="151"/>
      <c r="L13" s="22"/>
      <c r="M13" s="2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75" t="s">
        <v>159</v>
      </c>
      <c r="B14" s="75"/>
      <c r="C14" s="152"/>
      <c r="D14" s="75"/>
      <c r="E14" s="153"/>
      <c r="F14" s="153">
        <f t="shared" ref="F14:G14" si="0">SUM(F10:F13)</f>
        <v>0</v>
      </c>
      <c r="G14" s="153">
        <f t="shared" si="0"/>
        <v>0</v>
      </c>
      <c r="I14" s="153">
        <f>SUM(I10:I13)</f>
        <v>0</v>
      </c>
      <c r="J14" s="102"/>
      <c r="K14" s="153">
        <f>SUM(K10:K13)</f>
        <v>0</v>
      </c>
      <c r="L14" s="102"/>
      <c r="M14" s="10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49"/>
      <c r="B15" s="143" t="s">
        <v>161</v>
      </c>
      <c r="C15" s="144"/>
      <c r="D15" s="143"/>
      <c r="E15" s="73"/>
      <c r="F15" s="73"/>
      <c r="G15" s="73"/>
      <c r="I15" s="73"/>
      <c r="J15" s="22"/>
      <c r="K15" s="155"/>
      <c r="L15" s="22"/>
      <c r="M15" s="2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56" t="s">
        <v>181</v>
      </c>
      <c r="B16" s="143"/>
      <c r="C16" s="144"/>
      <c r="D16" s="150"/>
      <c r="E16" s="157"/>
      <c r="F16" s="73"/>
      <c r="G16" s="157"/>
      <c r="I16" s="73">
        <f t="shared" ref="I16:I19" si="1">B16*D16</f>
        <v>0</v>
      </c>
      <c r="J16" s="22"/>
      <c r="K16" s="73"/>
      <c r="L16" s="22"/>
      <c r="M16" s="2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49" t="s">
        <v>182</v>
      </c>
      <c r="B17" s="143">
        <v>3</v>
      </c>
      <c r="C17" s="144"/>
      <c r="D17" s="150">
        <v>2112</v>
      </c>
      <c r="E17" s="157"/>
      <c r="F17" s="73">
        <v>6336</v>
      </c>
      <c r="G17" s="157"/>
      <c r="I17" s="73">
        <f t="shared" si="1"/>
        <v>6336</v>
      </c>
      <c r="J17" s="22"/>
      <c r="K17" s="73"/>
      <c r="L17" s="22"/>
      <c r="M17" s="2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71" t="s">
        <v>183</v>
      </c>
      <c r="B18" s="143">
        <v>3</v>
      </c>
      <c r="C18" s="144"/>
      <c r="D18" s="150">
        <v>2112</v>
      </c>
      <c r="E18" s="157"/>
      <c r="F18" s="73">
        <v>6336</v>
      </c>
      <c r="G18" s="157"/>
      <c r="I18" s="73">
        <f t="shared" si="1"/>
        <v>6336</v>
      </c>
      <c r="J18" s="22"/>
      <c r="K18" s="73"/>
      <c r="L18" s="22"/>
      <c r="M18" s="2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72" t="s">
        <v>184</v>
      </c>
      <c r="B19" s="173">
        <v>3</v>
      </c>
      <c r="C19" s="144"/>
      <c r="D19" s="174">
        <v>2112</v>
      </c>
      <c r="E19" s="73"/>
      <c r="F19" s="73">
        <v>6336</v>
      </c>
      <c r="G19" s="73"/>
      <c r="I19" s="73">
        <f t="shared" si="1"/>
        <v>6336</v>
      </c>
      <c r="J19" s="22"/>
      <c r="K19" s="158"/>
      <c r="L19" s="22"/>
      <c r="M19" s="2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49"/>
      <c r="B20" s="143"/>
      <c r="C20" s="144"/>
      <c r="D20" s="150"/>
      <c r="E20" s="73"/>
      <c r="F20" s="73"/>
      <c r="G20" s="73"/>
      <c r="I20" s="73"/>
      <c r="J20" s="22"/>
      <c r="K20" s="158"/>
      <c r="L20" s="22"/>
      <c r="M20" s="2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49" t="s">
        <v>185</v>
      </c>
      <c r="B21" s="143">
        <v>3</v>
      </c>
      <c r="C21" s="144"/>
      <c r="D21" s="150">
        <v>2112</v>
      </c>
      <c r="E21" s="73"/>
      <c r="F21" s="73">
        <v>6336</v>
      </c>
      <c r="G21" s="73"/>
      <c r="I21" s="73">
        <f t="shared" ref="I21:I23" si="2">B21*D21</f>
        <v>6336</v>
      </c>
      <c r="J21" s="22"/>
      <c r="K21" s="73"/>
      <c r="L21" s="22"/>
      <c r="M21" s="2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49" t="s">
        <v>186</v>
      </c>
      <c r="B22" s="143">
        <v>3</v>
      </c>
      <c r="C22" s="144"/>
      <c r="D22" s="150">
        <v>1320</v>
      </c>
      <c r="E22" s="73"/>
      <c r="F22" s="73">
        <v>3960</v>
      </c>
      <c r="G22" s="73"/>
      <c r="I22" s="73">
        <f t="shared" si="2"/>
        <v>3960</v>
      </c>
      <c r="J22" s="22"/>
      <c r="K22" s="73"/>
      <c r="L22" s="22"/>
      <c r="M22" s="2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75" t="s">
        <v>187</v>
      </c>
      <c r="B23" s="143">
        <v>3</v>
      </c>
      <c r="C23" s="144"/>
      <c r="D23" s="150">
        <v>1320</v>
      </c>
      <c r="E23" s="73"/>
      <c r="F23" s="73">
        <v>3960</v>
      </c>
      <c r="G23" s="73"/>
      <c r="I23" s="73">
        <f t="shared" si="2"/>
        <v>3960</v>
      </c>
      <c r="J23" s="22"/>
      <c r="K23" s="73"/>
      <c r="L23" s="22"/>
      <c r="M23" s="2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49"/>
      <c r="B24" s="143"/>
      <c r="C24" s="144"/>
      <c r="D24" s="176"/>
      <c r="E24" s="73"/>
      <c r="F24" s="73"/>
      <c r="G24" s="157"/>
      <c r="I24" s="73"/>
      <c r="J24" s="22"/>
      <c r="K24" s="73"/>
      <c r="L24" s="22"/>
      <c r="M24" s="2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49"/>
      <c r="B25" s="143"/>
      <c r="C25" s="144"/>
      <c r="D25" s="150"/>
      <c r="E25" s="157"/>
      <c r="F25" s="73"/>
      <c r="G25" s="157"/>
      <c r="I25" s="73"/>
      <c r="J25" s="22"/>
      <c r="K25" s="73"/>
      <c r="L25" s="22"/>
      <c r="M25" s="2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60"/>
      <c r="B26" s="143"/>
      <c r="C26" s="144"/>
      <c r="D26" s="150"/>
      <c r="E26" s="73"/>
      <c r="F26" s="73">
        <v>0</v>
      </c>
      <c r="G26" s="73">
        <v>0</v>
      </c>
      <c r="I26" s="73">
        <v>0</v>
      </c>
      <c r="J26" s="22"/>
      <c r="K26" s="73"/>
      <c r="L26" s="22"/>
      <c r="M26" s="2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60"/>
      <c r="B27" s="143"/>
      <c r="C27" s="144"/>
      <c r="D27" s="150"/>
      <c r="E27" s="73"/>
      <c r="F27" s="73">
        <v>0</v>
      </c>
      <c r="G27" s="73">
        <v>0</v>
      </c>
      <c r="I27" s="73">
        <f>B27*D27</f>
        <v>0</v>
      </c>
      <c r="J27" s="22"/>
      <c r="K27" s="73"/>
      <c r="L27" s="22"/>
      <c r="M27" s="2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75" t="s">
        <v>188</v>
      </c>
      <c r="B28" s="162">
        <f>SUM(B15:B27)</f>
        <v>18</v>
      </c>
      <c r="C28" s="163"/>
      <c r="D28" s="162"/>
      <c r="E28" s="46">
        <f t="shared" ref="E28:G28" si="3">SUM(E16:E27)</f>
        <v>0</v>
      </c>
      <c r="F28" s="46">
        <f t="shared" si="3"/>
        <v>33264</v>
      </c>
      <c r="G28" s="46">
        <f t="shared" si="3"/>
        <v>0</v>
      </c>
      <c r="I28" s="46">
        <f>SUM(I16:I27)</f>
        <v>33264</v>
      </c>
      <c r="J28" s="22"/>
      <c r="K28" s="46">
        <f>SUM(K16:K27)</f>
        <v>0</v>
      </c>
      <c r="L28" s="22"/>
      <c r="M28" s="2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95" t="s">
        <v>176</v>
      </c>
      <c r="B29" s="95"/>
      <c r="C29" s="166"/>
      <c r="D29" s="95"/>
      <c r="E29" s="98">
        <f t="shared" ref="E29:G29" si="4">+E14+E28</f>
        <v>0</v>
      </c>
      <c r="F29" s="98">
        <f t="shared" si="4"/>
        <v>33264</v>
      </c>
      <c r="G29" s="98">
        <f t="shared" si="4"/>
        <v>0</v>
      </c>
      <c r="I29" s="98">
        <f>+I14+I28</f>
        <v>33264</v>
      </c>
      <c r="J29" s="22"/>
      <c r="K29" s="151">
        <f>K14+K28</f>
        <v>0</v>
      </c>
      <c r="L29" s="22"/>
      <c r="M29" s="2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68"/>
      <c r="B30" s="2"/>
      <c r="C30" s="2"/>
      <c r="D30" s="2"/>
      <c r="E30" s="22"/>
      <c r="F30" s="22"/>
      <c r="G30" s="2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69"/>
      <c r="B31" s="2"/>
      <c r="C31" s="2"/>
      <c r="D31" s="2"/>
      <c r="E31" s="22"/>
      <c r="F31" s="22"/>
      <c r="G31" s="2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2"/>
      <c r="F32" s="22"/>
      <c r="G32" s="2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2">
        <f>'STIPENDS '!I32+'Staff Director Stipends'!I29</f>
        <v>138288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87"/>
      <c r="C40" s="87"/>
      <c r="D40" s="4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87"/>
      <c r="C41" s="87"/>
      <c r="D41" s="4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87"/>
      <c r="C42" s="87"/>
      <c r="D42" s="4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87"/>
      <c r="C43" s="87"/>
      <c r="D43" s="4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87"/>
      <c r="C44" s="87"/>
      <c r="D44" s="4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87"/>
      <c r="C45" s="87"/>
      <c r="D45" s="4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87"/>
      <c r="C46" s="87"/>
      <c r="D46" s="4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87"/>
      <c r="C47" s="87"/>
      <c r="D47" s="4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87"/>
      <c r="C48" s="87"/>
      <c r="D48" s="4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87"/>
      <c r="C49" s="87"/>
      <c r="D49" s="4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87"/>
      <c r="C50" s="87"/>
      <c r="D50" s="4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87"/>
      <c r="C51" s="87"/>
      <c r="D51" s="4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87"/>
      <c r="C52" s="87"/>
      <c r="D52" s="4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87"/>
      <c r="C53" s="8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87"/>
      <c r="C54" s="8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87"/>
      <c r="C55" s="8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87"/>
      <c r="C56" s="8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87"/>
      <c r="C57" s="8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87"/>
      <c r="C58" s="8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87"/>
      <c r="C59" s="8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87"/>
      <c r="C60" s="8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87"/>
      <c r="C61" s="8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87"/>
      <c r="C62" s="8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87"/>
      <c r="C63" s="8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87"/>
      <c r="C64" s="87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87"/>
      <c r="C65" s="87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87"/>
      <c r="C66" s="8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87"/>
      <c r="C67" s="8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87"/>
      <c r="C68" s="87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87"/>
      <c r="C69" s="8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87"/>
      <c r="C70" s="87"/>
      <c r="D70" s="170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87"/>
      <c r="C71" s="87"/>
      <c r="D71" s="17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87"/>
      <c r="C72" s="87"/>
      <c r="D72" s="4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87"/>
      <c r="C73" s="87"/>
      <c r="D73" s="4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I1"/>
    <mergeCell ref="A2:I2"/>
    <mergeCell ref="A3:I3"/>
  </mergeCells>
  <pageMargins left="0.7" right="0.7" top="0.75" bottom="0.75" header="0" footer="0"/>
  <pageSetup orientation="landscape"/>
  <headerFooter>
    <oddHeader>&amp;RATTACHMENT A</oddHeader>
    <oddFooter>&amp;LASUCLA Student Support Services - 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C10" sqref="C10"/>
    </sheetView>
  </sheetViews>
  <sheetFormatPr defaultColWidth="14.42578125" defaultRowHeight="15" customHeight="1"/>
  <cols>
    <col min="1" max="1" width="24.28515625" customWidth="1"/>
    <col min="2" max="2" width="9.140625" customWidth="1"/>
    <col min="3" max="3" width="9.7109375" customWidth="1"/>
    <col min="4" max="4" width="9.140625" customWidth="1"/>
    <col min="5" max="5" width="10.85546875" customWidth="1"/>
    <col min="6" max="8" width="9.140625" customWidth="1"/>
    <col min="9" max="26" width="8" customWidth="1"/>
  </cols>
  <sheetData>
    <row r="1" spans="1:26" ht="12.75" customHeight="1">
      <c r="A1" s="239" t="s">
        <v>0</v>
      </c>
      <c r="B1" s="234"/>
      <c r="C1" s="234"/>
      <c r="D1" s="234"/>
      <c r="E1" s="234"/>
      <c r="F1" s="234"/>
      <c r="G1" s="234"/>
      <c r="H1" s="23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39" t="s">
        <v>1</v>
      </c>
      <c r="B2" s="234"/>
      <c r="C2" s="234"/>
      <c r="D2" s="234"/>
      <c r="E2" s="234"/>
      <c r="F2" s="234"/>
      <c r="G2" s="234"/>
      <c r="H2" s="23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39" t="s">
        <v>189</v>
      </c>
      <c r="B3" s="234"/>
      <c r="C3" s="234"/>
      <c r="D3" s="234"/>
      <c r="E3" s="234"/>
      <c r="F3" s="234"/>
      <c r="G3" s="234"/>
      <c r="H3" s="23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1" t="s">
        <v>190</v>
      </c>
      <c r="D5" s="2"/>
      <c r="E5" s="2" t="s">
        <v>191</v>
      </c>
      <c r="F5" s="2"/>
      <c r="G5" s="1" t="s">
        <v>190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 t="s">
        <v>192</v>
      </c>
      <c r="B6" s="2"/>
      <c r="C6" s="1"/>
      <c r="D6" s="2"/>
      <c r="E6" s="1"/>
      <c r="F6" s="2"/>
      <c r="G6" s="1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 t="s">
        <v>193</v>
      </c>
      <c r="B8" s="2"/>
      <c r="C8" s="88">
        <f>'Staff Director Stipends'!I28</f>
        <v>33264</v>
      </c>
      <c r="D8" s="88"/>
      <c r="E8" s="88">
        <v>0</v>
      </c>
      <c r="F8" s="2"/>
      <c r="G8" s="177">
        <f>'OBUD.XLS '!I23</f>
        <v>33264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88"/>
      <c r="D9" s="88"/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 t="s">
        <v>194</v>
      </c>
      <c r="B10" s="2"/>
      <c r="C10" s="88">
        <f>'STIPENDS '!I29+'STIPENDS '!I30+'STIPENDS '!I31</f>
        <v>54000</v>
      </c>
      <c r="D10" s="88"/>
      <c r="E10" s="88">
        <v>0</v>
      </c>
      <c r="F10" s="2"/>
      <c r="G10" s="177">
        <f>'OBUD.XLS '!I25+'OBUD.XLS '!I66+'OBUD.XLS '!I72</f>
        <v>46008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88"/>
      <c r="D11" s="88"/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 t="s">
        <v>195</v>
      </c>
      <c r="B12" s="2"/>
      <c r="C12" s="88">
        <f>'STIPENDS '!I14</f>
        <v>51024</v>
      </c>
      <c r="D12" s="88"/>
      <c r="E12" s="88">
        <v>0</v>
      </c>
      <c r="F12" s="2"/>
      <c r="G12" s="177">
        <f>'OBUD.XLS '!I24</f>
        <v>51024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88"/>
      <c r="D13" s="88"/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 t="s">
        <v>196</v>
      </c>
      <c r="B14" s="2"/>
      <c r="C14" s="48">
        <f>SUM(C8:C12)</f>
        <v>138288</v>
      </c>
      <c r="D14" s="88"/>
      <c r="E14" s="48">
        <f>SUM(E8:E12)</f>
        <v>0</v>
      </c>
      <c r="F14" s="2"/>
      <c r="G14" s="178">
        <f>SUM(G8:G13)</f>
        <v>130296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47" t="s">
        <v>197</v>
      </c>
      <c r="B16" s="2"/>
      <c r="C16" s="179">
        <v>1.9E-2</v>
      </c>
      <c r="D16" s="180"/>
      <c r="E16" s="2">
        <v>4.24E-2</v>
      </c>
      <c r="F16" s="2"/>
      <c r="G16" s="2">
        <v>1.9E-2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2" t="s">
        <v>41</v>
      </c>
      <c r="B18" s="2"/>
      <c r="C18" s="181">
        <f>+C14*C16</f>
        <v>2627.4719999999998</v>
      </c>
      <c r="D18" s="182"/>
      <c r="E18" s="181">
        <f>+E14*E16</f>
        <v>0</v>
      </c>
      <c r="F18" s="2"/>
      <c r="G18" s="181">
        <f>G14*G16</f>
        <v>2475.6239999999998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47" t="s">
        <v>198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:H2"/>
    <mergeCell ref="A3:H3"/>
  </mergeCells>
  <pageMargins left="0.7" right="0.7" top="0.75" bottom="0.75" header="0" footer="0"/>
  <pageSetup orientation="landscape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OBUD.XLS </vt:lpstr>
      <vt:lpstr>FEECALC</vt:lpstr>
      <vt:lpstr>STIPENDS </vt:lpstr>
      <vt:lpstr>Staff Director Stipends</vt:lpstr>
      <vt:lpstr>TAXES</vt:lpstr>
      <vt:lpstr>FEECALC!Print_Area_MI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Vuong</dc:creator>
  <cp:lastModifiedBy>Tran, Vuong</cp:lastModifiedBy>
  <cp:lastPrinted>2021-08-20T17:59:59Z</cp:lastPrinted>
  <dcterms:created xsi:type="dcterms:W3CDTF">2020-05-19T17:48:55Z</dcterms:created>
  <dcterms:modified xsi:type="dcterms:W3CDTF">2021-12-03T01:43:07Z</dcterms:modified>
</cp:coreProperties>
</file>